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worksheets/sheet139.xml" ContentType="application/vnd.openxmlformats-officedocument.spreadsheetml.worksheet+xml"/>
  <Override PartName="/xl/worksheets/sheet140.xml" ContentType="application/vnd.openxmlformats-officedocument.spreadsheetml.worksheet+xml"/>
  <Override PartName="/xl/worksheets/sheet141.xml" ContentType="application/vnd.openxmlformats-officedocument.spreadsheetml.worksheet+xml"/>
  <Override PartName="/xl/worksheets/sheet142.xml" ContentType="application/vnd.openxmlformats-officedocument.spreadsheetml.worksheet+xml"/>
  <Override PartName="/xl/worksheets/sheet14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9226"/>
  <fileSharing readOnlyRecommended="1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Arthur\Documents\Cours ECL\EPSA\Vulcanix-v1.0\SU - Suspension\Cost\"/>
    </mc:Choice>
  </mc:AlternateContent>
  <xr:revisionPtr revIDLastSave="0" documentId="10_ncr:8100000_{DE3A46B2-C3B9-4C45-AC9D-051C65C33EB5}" xr6:coauthVersionLast="32" xr6:coauthVersionMax="32" xr10:uidLastSave="{00000000-0000-0000-0000-000000000000}"/>
  <bookViews>
    <workbookView xWindow="0" yWindow="0" windowWidth="20490" windowHeight="7545" firstSheet="111" activeTab="111" xr2:uid="{00000000-000D-0000-FFFF-FFFF00000000}"/>
  </bookViews>
  <sheets>
    <sheet name="BOM" sheetId="8" r:id="rId1"/>
    <sheet name="SU A0100" sheetId="20" r:id="rId2"/>
    <sheet name="SU 01001" sheetId="21" r:id="rId3"/>
    <sheet name="dSU 01001" sheetId="27" r:id="rId4"/>
    <sheet name="SU 01002" sheetId="22" r:id="rId5"/>
    <sheet name="dSU 01002" sheetId="28" r:id="rId6"/>
    <sheet name="SU 01003" sheetId="23" r:id="rId7"/>
    <sheet name="SU 01004" sheetId="24" r:id="rId8"/>
    <sheet name="SU 01005" sheetId="25" r:id="rId9"/>
    <sheet name="dSU 01005" sheetId="29" r:id="rId10"/>
    <sheet name="SU 01006" sheetId="42" r:id="rId11"/>
    <sheet name="dSU 01006" sheetId="43" r:id="rId12"/>
    <sheet name="SU 01007" sheetId="26" r:id="rId13"/>
    <sheet name="dSU 01007" sheetId="30" r:id="rId14"/>
    <sheet name="SU 01008" sheetId="72" r:id="rId15"/>
    <sheet name="dSU 01008" sheetId="73" r:id="rId16"/>
    <sheet name="SU 01009" sheetId="74" r:id="rId17"/>
    <sheet name="dSU 01009" sheetId="75" r:id="rId18"/>
    <sheet name="SU 01010" sheetId="76" r:id="rId19"/>
    <sheet name="dSU 01010" sheetId="77" r:id="rId20"/>
    <sheet name="SU 01011" sheetId="78" r:id="rId21"/>
    <sheet name="dSU 01011" sheetId="79" r:id="rId22"/>
    <sheet name="SU A0200" sheetId="31" r:id="rId23"/>
    <sheet name="SU 02001" sheetId="32" r:id="rId24"/>
    <sheet name="dSU 02001" sheetId="38" r:id="rId25"/>
    <sheet name="SU 02002" sheetId="33" r:id="rId26"/>
    <sheet name="dSU 02002" sheetId="39" r:id="rId27"/>
    <sheet name="SU 02003" sheetId="34" r:id="rId28"/>
    <sheet name="SU 02004" sheetId="35" r:id="rId29"/>
    <sheet name="SU 02005" sheetId="36" r:id="rId30"/>
    <sheet name="dSU 02005" sheetId="40" r:id="rId31"/>
    <sheet name="SU 02006" sheetId="44" r:id="rId32"/>
    <sheet name="dSU 02006" sheetId="45" r:id="rId33"/>
    <sheet name="SU 02007" sheetId="37" r:id="rId34"/>
    <sheet name="dSU 02007" sheetId="41" r:id="rId35"/>
    <sheet name="SU 02008" sheetId="83" r:id="rId36"/>
    <sheet name="dSU 02008" sheetId="84" r:id="rId37"/>
    <sheet name="SU 02009" sheetId="85" r:id="rId38"/>
    <sheet name="dSU 02009" sheetId="86" r:id="rId39"/>
    <sheet name="SU 02010" sheetId="87" r:id="rId40"/>
    <sheet name="dSU 02010" sheetId="88" r:id="rId41"/>
    <sheet name="SU 02011" sheetId="89" r:id="rId42"/>
    <sheet name="dSU 02011" sheetId="90" r:id="rId43"/>
    <sheet name="SU A0300" sheetId="46" r:id="rId44"/>
    <sheet name="SU 03001" sheetId="47" r:id="rId45"/>
    <sheet name="dSU 03001" sheetId="53" r:id="rId46"/>
    <sheet name="SU 03002" sheetId="48" r:id="rId47"/>
    <sheet name="dSU 03002" sheetId="54" r:id="rId48"/>
    <sheet name="SU 03003" sheetId="49" r:id="rId49"/>
    <sheet name="SU 03004" sheetId="50" r:id="rId50"/>
    <sheet name="SU 03005" sheetId="51" r:id="rId51"/>
    <sheet name="dSU 03005" sheetId="55" r:id="rId52"/>
    <sheet name="SU 03006" sheetId="57" r:id="rId53"/>
    <sheet name="dSU 03006" sheetId="58" r:id="rId54"/>
    <sheet name="SU 03007" sheetId="52" r:id="rId55"/>
    <sheet name="dSU 03007" sheetId="56" r:id="rId56"/>
    <sheet name="SU 03008" sheetId="91" r:id="rId57"/>
    <sheet name="dSU 03008" sheetId="92" r:id="rId58"/>
    <sheet name="SU 03009" sheetId="93" r:id="rId59"/>
    <sheet name="dSU 03009" sheetId="94" r:id="rId60"/>
    <sheet name="SU 03010" sheetId="95" r:id="rId61"/>
    <sheet name="dSU 03010" sheetId="96" r:id="rId62"/>
    <sheet name="SU 03011" sheetId="97" r:id="rId63"/>
    <sheet name="dSU 03011" sheetId="98" r:id="rId64"/>
    <sheet name="SU A0400" sheetId="59" r:id="rId65"/>
    <sheet name="SU 04001" sheetId="60" r:id="rId66"/>
    <sheet name="dSU 04001" sheetId="66" r:id="rId67"/>
    <sheet name="SU 04002" sheetId="61" r:id="rId68"/>
    <sheet name="dSU 04002" sheetId="67" r:id="rId69"/>
    <sheet name="SU 04003" sheetId="62" r:id="rId70"/>
    <sheet name="SU 04004" sheetId="63" r:id="rId71"/>
    <sheet name="SU 04005" sheetId="64" r:id="rId72"/>
    <sheet name="dSU 04005" sheetId="68" r:id="rId73"/>
    <sheet name="SU 04006" sheetId="70" r:id="rId74"/>
    <sheet name="dSU 04006" sheetId="71" r:id="rId75"/>
    <sheet name="SU 04007" sheetId="65" r:id="rId76"/>
    <sheet name="dSU 04007" sheetId="69" r:id="rId77"/>
    <sheet name="SU 04008" sheetId="99" r:id="rId78"/>
    <sheet name="dSU 04008" sheetId="100" r:id="rId79"/>
    <sheet name="SU 04009" sheetId="101" r:id="rId80"/>
    <sheet name="dSU 04009" sheetId="102" r:id="rId81"/>
    <sheet name="SU 04010" sheetId="103" r:id="rId82"/>
    <sheet name="dSU 04010" sheetId="104" r:id="rId83"/>
    <sheet name="SU 04011" sheetId="105" r:id="rId84"/>
    <sheet name="dSU 04011" sheetId="106" r:id="rId85"/>
    <sheet name="SU A0500" sheetId="107" r:id="rId86"/>
    <sheet name="SU 05001" sheetId="108" r:id="rId87"/>
    <sheet name="dSU 05001" sheetId="109" r:id="rId88"/>
    <sheet name="SU A0600" sheetId="111" r:id="rId89"/>
    <sheet name="SU 06001" sheetId="112" r:id="rId90"/>
    <sheet name="SU 06002" sheetId="113" r:id="rId91"/>
    <sheet name="SU 06003" sheetId="114" r:id="rId92"/>
    <sheet name="dSU 06003" sheetId="115" r:id="rId93"/>
    <sheet name="SU 06004" sheetId="116" r:id="rId94"/>
    <sheet name="SU A0700" sheetId="118" r:id="rId95"/>
    <sheet name="SU 07001" sheetId="119" r:id="rId96"/>
    <sheet name="dSU 07001" sheetId="120" r:id="rId97"/>
    <sheet name="SU A0800" sheetId="122" r:id="rId98"/>
    <sheet name="SU 08001" sheetId="123" r:id="rId99"/>
    <sheet name="SU 08002" sheetId="124" r:id="rId100"/>
    <sheet name="dSU 08002" sheetId="125" r:id="rId101"/>
    <sheet name="SU 08003" sheetId="126" r:id="rId102"/>
    <sheet name="SU A0900" sheetId="127" r:id="rId103"/>
    <sheet name="SU 09001" sheetId="128" r:id="rId104"/>
    <sheet name="SU 09002" sheetId="129" r:id="rId105"/>
    <sheet name="dSU 09002" sheetId="131" r:id="rId106"/>
    <sheet name="SU 09003" sheetId="130" r:id="rId107"/>
    <sheet name="dSU 09003" sheetId="134" r:id="rId108"/>
    <sheet name="SU 09004" sheetId="133" r:id="rId109"/>
    <sheet name="dSU 09004" sheetId="132" r:id="rId110"/>
    <sheet name="SU A1000" sheetId="135" r:id="rId111"/>
    <sheet name="SU 10001" sheetId="136" r:id="rId112"/>
    <sheet name="dSU 10001" sheetId="137" r:id="rId113"/>
    <sheet name="SU 10002" sheetId="138" r:id="rId114"/>
    <sheet name="dSU 10002" sheetId="139" r:id="rId115"/>
    <sheet name="SU 10003" sheetId="140" r:id="rId116"/>
    <sheet name="dSU 10003" sheetId="141" r:id="rId117"/>
    <sheet name="SU 10004" sheetId="142" r:id="rId118"/>
    <sheet name="dSU 10004" sheetId="143" r:id="rId119"/>
    <sheet name="SU 10005" sheetId="144" r:id="rId120"/>
    <sheet name="dSU 10005" sheetId="145" r:id="rId121"/>
    <sheet name="SU A1100 " sheetId="146" r:id="rId122"/>
    <sheet name="SU 11001" sheetId="147" r:id="rId123"/>
    <sheet name="dSU 11001" sheetId="148" r:id="rId124"/>
    <sheet name="SU 11002" sheetId="149" r:id="rId125"/>
    <sheet name="dSU 11002" sheetId="150" r:id="rId126"/>
    <sheet name="SU 11003" sheetId="151" r:id="rId127"/>
    <sheet name="dSU 11003" sheetId="152" r:id="rId128"/>
    <sheet name="SU 11004" sheetId="153" r:id="rId129"/>
    <sheet name="dSU 11004" sheetId="154" r:id="rId130"/>
    <sheet name="SU A1200" sheetId="155" r:id="rId131"/>
    <sheet name="SU 12001" sheetId="156" r:id="rId132"/>
    <sheet name="SU 12002" sheetId="157" r:id="rId133"/>
    <sheet name="dSU 12002" sheetId="158" r:id="rId134"/>
    <sheet name="SU 12003" sheetId="159" r:id="rId135"/>
    <sheet name="dSU 12003" sheetId="160" r:id="rId136"/>
    <sheet name="SU 12004" sheetId="161" r:id="rId137"/>
    <sheet name="dSU 12004" sheetId="162" r:id="rId138"/>
    <sheet name="SU A1300" sheetId="163" r:id="rId139"/>
    <sheet name="SU 13001" sheetId="164" r:id="rId140"/>
    <sheet name="dSU 13001" sheetId="165" r:id="rId141"/>
    <sheet name="SU 13002" sheetId="166" r:id="rId142"/>
    <sheet name="dSU 13002" sheetId="167" r:id="rId143"/>
  </sheets>
  <externalReferences>
    <externalReference r:id="rId144"/>
    <externalReference r:id="rId145"/>
  </externalReferences>
  <definedNames>
    <definedName name="dSU_01001">'dSU 01001'!$A$1</definedName>
    <definedName name="dSU_01002">'dSU 01002'!$A$1</definedName>
    <definedName name="dSU_01005">'dSU 01005'!$A$1</definedName>
    <definedName name="dSU_01006">'dSU 01006'!$A$1</definedName>
    <definedName name="dSU_01007">'dSU 01007'!$A$1</definedName>
    <definedName name="dSU_01008">'dSU 01008'!$A$1</definedName>
    <definedName name="dSU_01009">'dSU 01009'!$A$1</definedName>
    <definedName name="dSU_01010">'dSU 01010'!$A$1</definedName>
    <definedName name="dSU_01011">'dSU 01011'!$A$1</definedName>
    <definedName name="dSU_02001">'dSU 02001'!$A$1</definedName>
    <definedName name="dSU_02002">'dSU 02002'!$A$1</definedName>
    <definedName name="dSU_02005">'dSU 02005'!$A$1</definedName>
    <definedName name="dSU_02006">'dSU 02006'!$A$1</definedName>
    <definedName name="dSU_02007">'dSU 02007'!$A$1</definedName>
    <definedName name="dSU_02008">'dSU 02008'!$A$1</definedName>
    <definedName name="dSU_02009">'dSU 02009'!$A$1</definedName>
    <definedName name="dSU_02010">'dSU 02010'!$A$1</definedName>
    <definedName name="dSU_03001">'dSU 03001'!$A$1</definedName>
    <definedName name="dSU_03002">'dSU 03002'!$A$1</definedName>
    <definedName name="dSU_03005">'dSU 03005'!$A$1</definedName>
    <definedName name="dSU_03006">'dSU 03006'!$A$1</definedName>
    <definedName name="dSU_03007">'dSU 03007'!$A$1</definedName>
    <definedName name="dSU_03008">'dSU 03008'!$A$1</definedName>
    <definedName name="dSU_03009">'dSU 03009'!$A$1</definedName>
    <definedName name="dSU_03010">'dSU 03010'!$A$1</definedName>
    <definedName name="dSU_03011">'dSU 03011'!$A$1</definedName>
    <definedName name="dSU_04001">'dSU 04001'!$A$1</definedName>
    <definedName name="dSU_04002">'dSU 04002'!$A$1</definedName>
    <definedName name="dSU_04005">'dSU 04005'!$A$1</definedName>
    <definedName name="dSU_04006">'dSU 04006'!$A$1</definedName>
    <definedName name="dSU_04007">'dSU 04007'!$A$1</definedName>
    <definedName name="dSU_04008">'dSU 04008'!$A$1</definedName>
    <definedName name="dSU_04009">'dSU 04009'!$A$1</definedName>
    <definedName name="dSU_04010">'dSU 04010'!$A$1</definedName>
    <definedName name="dSU_04011">'dSU 04011'!$A$1</definedName>
    <definedName name="dSU_05001">'dSU 05001'!$A$1</definedName>
    <definedName name="dSU_06003">'dSU 06003'!$A$1</definedName>
    <definedName name="dSU_07001">'dSU 07001'!$A$1</definedName>
    <definedName name="dSU_08002">'dSU 08002'!$A$1</definedName>
    <definedName name="dSU_09002">'dSU 09002'!$A$1</definedName>
    <definedName name="dSU_09003">'dSU 09003'!$A$1</definedName>
    <definedName name="dSU_09004">'dSU 09004'!$A$1</definedName>
    <definedName name="dSU_10001">'dSU 10001'!$A$1</definedName>
    <definedName name="dSU_10002">'dSU 10002'!$A$1</definedName>
    <definedName name="dSU_10003">'dSU 10003'!$A$1</definedName>
    <definedName name="dSU_10004">'dSU 10004'!$A$1</definedName>
    <definedName name="dSU_10005">'dSU 10005'!$A$1</definedName>
    <definedName name="dSU_11001">'dSU 11001'!$A$1</definedName>
    <definedName name="dSU_11002">'dSU 11002'!$A$1</definedName>
    <definedName name="dSU_11003">'dSU 11003'!$A$1</definedName>
    <definedName name="dSU_11004">'dSU 11004'!$A$1</definedName>
    <definedName name="dSU_12002">'dSU 12002'!$A$1</definedName>
    <definedName name="dSU_12003">'dSU 12003'!$A$1</definedName>
    <definedName name="dSU_12004">'dSU 12004'!$A$1</definedName>
    <definedName name="dSU_13001">'dSU 13001'!$A$1</definedName>
    <definedName name="dSU_13002">'dSU 13002'!$A$1</definedName>
    <definedName name="dSU_510_001">#REF!</definedName>
    <definedName name="SU_01001">'SU 01001'!$B$6</definedName>
    <definedName name="SU_01001_m">'SU 01001'!$N$12</definedName>
    <definedName name="SU_01001_p">'SU 01001'!$I$26</definedName>
    <definedName name="SU_01001_q">'SU 01001'!$N$3</definedName>
    <definedName name="SU_01002">'SU 01002'!$B$6</definedName>
    <definedName name="SU_01002_m">'SU 01002'!$N$12</definedName>
    <definedName name="SU_01002_p">'SU 01002'!$I$21</definedName>
    <definedName name="SU_01002_q">'SU 01002'!$N$3</definedName>
    <definedName name="SU_01003">'SU 01003'!$B$6</definedName>
    <definedName name="SU_01003_m">'SU 01003'!$N$12</definedName>
    <definedName name="SU_01003_p">'SU 01003'!$I$16</definedName>
    <definedName name="SU_01003_q">'SU 01003'!$N$3</definedName>
    <definedName name="SU_01004">'SU 01004'!$B$6</definedName>
    <definedName name="SU_01004_m">'SU 01004'!$N$12</definedName>
    <definedName name="SU_01004_p">'SU 01004'!$I$16</definedName>
    <definedName name="SU_01004_q">'SU 01004'!$N$3</definedName>
    <definedName name="SU_01005">'SU 01005'!$B$6</definedName>
    <definedName name="SU_01005_m">'SU 01005'!$N$12</definedName>
    <definedName name="SU_01005_p">'SU 01005'!$I$17</definedName>
    <definedName name="SU_01005_q">'SU 01005'!$N$3</definedName>
    <definedName name="SU_01006">'SU 01006'!$B$6</definedName>
    <definedName name="SU_01006_m">'SU 01006'!$N$12</definedName>
    <definedName name="SU_01006_p">'SU 01006'!$I$17</definedName>
    <definedName name="SU_01006_q">'SU 01006'!$N$3</definedName>
    <definedName name="SU_01007">'SU 01007'!$B$6</definedName>
    <definedName name="SU_01007_m">'SU 01007'!$N$12</definedName>
    <definedName name="SU_01007_p">'SU 01007'!$I$16</definedName>
    <definedName name="SU_01007_q">'SU 01007'!$N$3</definedName>
    <definedName name="SU_01008">'SU 01008'!$B$6</definedName>
    <definedName name="SU_01008_m">'SU 01008'!$N$13</definedName>
    <definedName name="SU_01008_p">'SU 01008'!$I$21</definedName>
    <definedName name="SU_01008_q">'SU 01008'!$N$3</definedName>
    <definedName name="SU_01009">'SU 01009'!$B$6</definedName>
    <definedName name="SU_01009_m">'SU 01009'!$N$13</definedName>
    <definedName name="SU_01009_p">'SU 01009'!$I$21</definedName>
    <definedName name="SU_01009_q">'SU 01009'!$N$3</definedName>
    <definedName name="SU_01010">'SU 01010'!$B$6</definedName>
    <definedName name="SU_01010_m">'SU 01010'!$N$13</definedName>
    <definedName name="SU_01010_p">'SU 01010'!$I$21</definedName>
    <definedName name="SU_01010_q">'SU 01010'!$N$3</definedName>
    <definedName name="SU_01011">'SU 01011'!$B$6</definedName>
    <definedName name="SU_01011_m">'SU 01011'!$N$13</definedName>
    <definedName name="SU_01011_p">'SU 01011'!$I$21</definedName>
    <definedName name="SU_01011_q">'SU 01011'!$N$3</definedName>
    <definedName name="SU_02001">'SU 02001'!$B$6</definedName>
    <definedName name="SU_02001_m">'SU 02001'!$N$12</definedName>
    <definedName name="SU_02001_p">'SU 02001'!$I$23</definedName>
    <definedName name="SU_02001_q">'SU 02001'!$N$3</definedName>
    <definedName name="SU_02002">'SU 02002'!$B$6</definedName>
    <definedName name="SU_02002_m">'SU 02002'!$N$12</definedName>
    <definedName name="SU_02002_p">'SU 02002'!$I$21</definedName>
    <definedName name="SU_02002_q">'SU 02002'!$N$3</definedName>
    <definedName name="SU_02003">'SU 02003'!$B$6</definedName>
    <definedName name="SU_02003_m">'SU 02003'!$N$12</definedName>
    <definedName name="SU_02003_p">'SU 02003'!$I$16</definedName>
    <definedName name="SU_02003_q">'SU 02003'!$N$3</definedName>
    <definedName name="SU_02004">'SU 02004'!$B$6</definedName>
    <definedName name="SU_02004_m">'SU 02004'!$N$12</definedName>
    <definedName name="SU_02004_p">'SU 02004'!$I$16</definedName>
    <definedName name="SU_02004_q">'SU 02004'!$N$3</definedName>
    <definedName name="SU_02005">'SU 02005'!$B$6</definedName>
    <definedName name="SU_02005_m">'SU 02005'!$N$12</definedName>
    <definedName name="SU_02005_p">'SU 02005'!$I$17</definedName>
    <definedName name="SU_02005_q">'SU 02005'!$N$3</definedName>
    <definedName name="SU_02006">'SU 02006'!$B$6</definedName>
    <definedName name="SU_02006_m">'SU 02006'!$N$12</definedName>
    <definedName name="SU_02006_p">'SU 02006'!$I$17</definedName>
    <definedName name="SU_02006_q">'SU 02006'!$N$3</definedName>
    <definedName name="SU_02007">'SU 02007'!$B$6</definedName>
    <definedName name="SU_02007_m">'SU 02007'!$N$12</definedName>
    <definedName name="SU_02007_p">'SU 02007'!$I$16</definedName>
    <definedName name="SU_02007_q">'SU 02007'!$N$3</definedName>
    <definedName name="SU_02008">'SU 02008'!$B$6</definedName>
    <definedName name="SU_02008_m">'SU 02008'!$N$13</definedName>
    <definedName name="SU_02008_p">'SU 02008'!$I$21</definedName>
    <definedName name="SU_02008_q">'SU 02008'!$N$3</definedName>
    <definedName name="SU_02009">'SU 02009'!$B$6</definedName>
    <definedName name="SU_02009_m">'SU 02009'!$N$13</definedName>
    <definedName name="SU_02009_p">'SU 02009'!$I$21</definedName>
    <definedName name="SU_02009_q">'SU 02009'!$N$3</definedName>
    <definedName name="SU_02010">'SU 02010'!$B$6</definedName>
    <definedName name="SU_02010_m">'SU 02010'!$N$13</definedName>
    <definedName name="SU_02010_p">'SU 02010'!$I$21</definedName>
    <definedName name="SU_02010_q">'SU 02010'!$N$3</definedName>
    <definedName name="SU_02011">'SU 02011'!$B$6</definedName>
    <definedName name="SU_02011_m">'SU 02011'!$N$13</definedName>
    <definedName name="SU_02011_p">'SU 02011'!$I$21</definedName>
    <definedName name="SU_02011_q">'SU 02011'!$N$3</definedName>
    <definedName name="SU_03001">'SU 03001'!$B$6</definedName>
    <definedName name="SU_03001_m">'SU 03001'!$N$12</definedName>
    <definedName name="SU_03001_p">'SU 03001'!$I$26</definedName>
    <definedName name="SU_03001_q">'SU 03001'!$N$3</definedName>
    <definedName name="SU_03002">'SU 03002'!$B$6</definedName>
    <definedName name="SU_03002_m">'SU 03002'!$N$12</definedName>
    <definedName name="SU_03002_p">'SU 03002'!$I$21</definedName>
    <definedName name="SU_03002_q">'SU 03002'!$N$3</definedName>
    <definedName name="SU_03003">'SU 03003'!$B$6</definedName>
    <definedName name="SU_03003_m">'SU 03003'!$N$12</definedName>
    <definedName name="SU_03003_p">'SU 03003'!$I$16</definedName>
    <definedName name="SU_03003_q">'SU 03003'!$N$3</definedName>
    <definedName name="SU_03004">'SU 03004'!$B$6</definedName>
    <definedName name="SU_03004_m">'SU 03004'!$N$12</definedName>
    <definedName name="SU_03004_p">'SU 03004'!$I$16</definedName>
    <definedName name="SU_03004_q">'SU 03004'!$N$3</definedName>
    <definedName name="SU_03005">'SU 03005'!$B$6</definedName>
    <definedName name="SU_03005_m">'SU 03005'!$N$12</definedName>
    <definedName name="SU_03005_p">'SU 03005'!$I$17</definedName>
    <definedName name="SU_03005_q">'SU 03005'!$N$3</definedName>
    <definedName name="SU_03006">'SU 03006'!$B$6</definedName>
    <definedName name="SU_03006_m">'SU 03006'!$N$12</definedName>
    <definedName name="SU_03006_p">'SU 03006'!$I$17</definedName>
    <definedName name="SU_03006_q">'SU 03006'!$N$3</definedName>
    <definedName name="SU_03007">'SU 03007'!$B$6</definedName>
    <definedName name="SU_03007_m">'SU 03007'!$N$12</definedName>
    <definedName name="SU_03007_p">'SU 03007'!$I$16</definedName>
    <definedName name="SU_03007_q">'SU 03007'!$N$3</definedName>
    <definedName name="SU_03008">'SU 03008'!$B$6</definedName>
    <definedName name="SU_03008_m">'SU 03008'!$N$13</definedName>
    <definedName name="SU_03008_p">'SU 03008'!$I$21</definedName>
    <definedName name="SU_03008_q">'SU 03008'!$N$3</definedName>
    <definedName name="SU_03009">'SU 03009'!$B$6</definedName>
    <definedName name="SU_03009_m">'SU 03009'!$N$13</definedName>
    <definedName name="SU_03009_p">'SU 03009'!$I$21</definedName>
    <definedName name="SU_03009_q">'SU 03009'!$N$3</definedName>
    <definedName name="SU_03010">'SU 03010'!$B$6</definedName>
    <definedName name="SU_03010_m">'SU 03010'!$N$13</definedName>
    <definedName name="SU_03010_p">'SU 03010'!$I$21</definedName>
    <definedName name="SU_03010_q">'SU 03010'!$N$3</definedName>
    <definedName name="SU_03011">'SU 03011'!$B$6</definedName>
    <definedName name="SU_03011_m">'SU 03011'!$N$13</definedName>
    <definedName name="SU_03011_p">'SU 03011'!$I$21</definedName>
    <definedName name="SU_03011_q">'SU 03011'!$N$3</definedName>
    <definedName name="SU_04001">'SU 04001'!$B$6</definedName>
    <definedName name="SU_04001_m">'SU 04001'!$N$12</definedName>
    <definedName name="SU_04001_p">'SU 04001'!$I$23</definedName>
    <definedName name="SU_04001_q">'SU 04001'!$N$3</definedName>
    <definedName name="SU_04002">'SU 04002'!$B$6</definedName>
    <definedName name="SU_04002_m">'SU 04002'!$N$12</definedName>
    <definedName name="SU_04002_p">'SU 04002'!$I$21</definedName>
    <definedName name="SU_04002_q">'SU 04002'!$N$3</definedName>
    <definedName name="SU_04003">'SU 04003'!$B$6</definedName>
    <definedName name="SU_04003_m">'SU 04003'!$N$12</definedName>
    <definedName name="SU_04003_p">'SU 04003'!$I$16</definedName>
    <definedName name="SU_04003_q">'SU 04003'!$N$3</definedName>
    <definedName name="SU_04004">'SU 04004'!$B$6</definedName>
    <definedName name="SU_04004_m">'SU 04004'!$N$12</definedName>
    <definedName name="SU_04004_p">'SU 04004'!$I$16</definedName>
    <definedName name="SU_04004_q">'SU 04004'!$N$3</definedName>
    <definedName name="SU_04005">'SU 04005'!$B$6</definedName>
    <definedName name="SU_04005_m">'SU 04005'!$N$12</definedName>
    <definedName name="SU_04005_p">'SU 04005'!$I$17</definedName>
    <definedName name="SU_04005_q">'SU 04005'!$N$3</definedName>
    <definedName name="SU_04006">'SU 04006'!$B$6</definedName>
    <definedName name="SU_04006_m">'SU 04006'!$N$12</definedName>
    <definedName name="SU_04006_p">'SU 04006'!$I$17</definedName>
    <definedName name="SU_04006_q">'SU 04006'!$N$3</definedName>
    <definedName name="SU_04007">'SU 04007'!$B$6</definedName>
    <definedName name="SU_04007_m">'SU 04007'!$N$12</definedName>
    <definedName name="SU_04007_p">'SU 04007'!$I$16</definedName>
    <definedName name="SU_04007_q">'SU 04007'!$N$3</definedName>
    <definedName name="SU_04008">'SU 04008'!$B$6</definedName>
    <definedName name="SU_04008_m">'SU 04008'!$N$13</definedName>
    <definedName name="SU_04008_p">'SU 04008'!$I$21</definedName>
    <definedName name="SU_04008_q">'SU 04008'!$N$3</definedName>
    <definedName name="SU_04009">'SU 04009'!$B$6</definedName>
    <definedName name="SU_04009_m">'SU 04009'!$N$13</definedName>
    <definedName name="SU_04009_p">'SU 04009'!$I$21</definedName>
    <definedName name="SU_04009_q">'SU 04009'!$N$3</definedName>
    <definedName name="SU_04010">'SU 04010'!$B$6</definedName>
    <definedName name="SU_04010_m">'SU 04010'!$N$13</definedName>
    <definedName name="SU_04010_p">'SU 04010'!$I$21</definedName>
    <definedName name="SU_04010_q">'SU 04010'!$N$3</definedName>
    <definedName name="SU_04011">'SU 04011'!$B$6</definedName>
    <definedName name="SU_04011_m">'SU 04011'!$N$13</definedName>
    <definedName name="SU_04011_p">'SU 04011'!$I$21</definedName>
    <definedName name="SU_04011_q">'SU 04011'!$N$3</definedName>
    <definedName name="SU_05001">'SU 05001'!$B$6</definedName>
    <definedName name="SU_05001_f">'SU 05001'!#REF!</definedName>
    <definedName name="SU_05001_m">'SU 05001'!$N$12</definedName>
    <definedName name="SU_05001_p">'SU 05001'!$I$22</definedName>
    <definedName name="SU_05001_q">'SU 05001'!$N$3</definedName>
    <definedName name="SU_05001_t">'SU 05001'!#REF!</definedName>
    <definedName name="SU_06001">'SU 06001'!$B$6</definedName>
    <definedName name="SU_06001_m">'SU 06001'!$N$12</definedName>
    <definedName name="SU_06001_p">'SU 06001'!$I$17</definedName>
    <definedName name="SU_06001_q">'SU 06001'!$N$3</definedName>
    <definedName name="SU_06002">'SU 06002'!$B$6</definedName>
    <definedName name="SU_06002_m">'SU 06002'!$N$12</definedName>
    <definedName name="SU_06002_p">'SU 06002'!$I$17</definedName>
    <definedName name="SU_06002_q">'SU 06002'!$N$3</definedName>
    <definedName name="SU_06003">'SU 06003'!$B$6</definedName>
    <definedName name="SU_06003_m">'SU 06003'!$N$12</definedName>
    <definedName name="SU_06003_p">'SU 06003'!$I$17</definedName>
    <definedName name="SU_06003_q">'SU 06003'!$N$3</definedName>
    <definedName name="SU_06004">'SU 06004'!$B$6</definedName>
    <definedName name="SU_06004_m">'SU 06004'!$N$12</definedName>
    <definedName name="SU_06004_p">'SU 06004'!$I$19</definedName>
    <definedName name="SU_06004_q">'SU 06004'!$N$3</definedName>
    <definedName name="SU_07001">'SU 07001'!$B$6</definedName>
    <definedName name="SU_07001_f">'SU 07001'!#REF!</definedName>
    <definedName name="SU_07001_m">'SU 07001'!$N$12</definedName>
    <definedName name="SU_07001_p">'SU 07001'!$I$22</definedName>
    <definedName name="SU_07001_q">'SU 07001'!$N$3</definedName>
    <definedName name="SU_07001_t">'SU 07001'!#REF!</definedName>
    <definedName name="SU_08001">'SU 08001'!$B$6</definedName>
    <definedName name="SU_08001_m">'SU 08001'!$N$12</definedName>
    <definedName name="SU_08001_p">'SU 08001'!$I$17</definedName>
    <definedName name="SU_08001_q">'SU 08001'!$N$3</definedName>
    <definedName name="SU_08002">'SU 08002'!$B$6</definedName>
    <definedName name="SU_08002_m">'SU 08002'!$N$12</definedName>
    <definedName name="SU_08002_p">'SU 08002'!$I$17</definedName>
    <definedName name="SU_08002_q">'SU 08002'!$N$3</definedName>
    <definedName name="SU_08003">'SU 08003'!$B$6</definedName>
    <definedName name="SU_08003_m">'SU 08003'!$N$12</definedName>
    <definedName name="SU_08003_p">'SU 08003'!$I$19</definedName>
    <definedName name="SU_08003_q">'SU 08003'!$N$3</definedName>
    <definedName name="SU_09001">'SU 09001'!$B$6</definedName>
    <definedName name="SU_09001_m">'SU 09001'!$N$12</definedName>
    <definedName name="SU_09001_p">'SU 09001'!$I$16</definedName>
    <definedName name="SU_09001_q">'SU 09001'!$N$3</definedName>
    <definedName name="SU_09002">'SU 09002'!$B$6</definedName>
    <definedName name="SU_09002_m">'SU 09002'!$N$12</definedName>
    <definedName name="SU_09002_p">'SU 09002'!$I$19</definedName>
    <definedName name="SU_09002_q">'SU 09002'!$N$3</definedName>
    <definedName name="SU_09003">'SU 09003'!$B$6</definedName>
    <definedName name="SU_09003_m">'SU 09003'!$N$12</definedName>
    <definedName name="SU_09003_p">'SU 09003'!$I$17</definedName>
    <definedName name="SU_09003_q">'SU 09003'!$N$3</definedName>
    <definedName name="SU_09004">'SU 09004'!$B$6</definedName>
    <definedName name="SU_09004_m">'SU 09004'!$N$12</definedName>
    <definedName name="SU_09004_p">'SU 09004'!$I$17</definedName>
    <definedName name="SU_09004_q">'SU 09004'!$N$3</definedName>
    <definedName name="SU_10001">'SU 10001'!$B$6</definedName>
    <definedName name="SU_10001_m">'SU 10001'!$N$12</definedName>
    <definedName name="SU_10001_p">'SU 10001'!$I$29</definedName>
    <definedName name="SU_10001_q">'SU 10001'!$N$3</definedName>
    <definedName name="SU_10002">'SU 10002'!$B$6</definedName>
    <definedName name="SU_10002_m">'SU 10002'!$N$12</definedName>
    <definedName name="SU_10002_p">'SU 10002'!$I$19</definedName>
    <definedName name="SU_10002_q">'SU 10002'!$N$3</definedName>
    <definedName name="SU_10003">'SU 10003'!$B$6</definedName>
    <definedName name="SU_10003_m">'SU 10003'!$N$12</definedName>
    <definedName name="SU_10003_p">'SU 10003'!$I$23</definedName>
    <definedName name="SU_10003_q">'SU 10003'!$N$3</definedName>
    <definedName name="SU_10004">'SU 10004'!$B$6</definedName>
    <definedName name="SU_10004_m">'SU 10004'!$N$12</definedName>
    <definedName name="SU_10004_p">'SU 10004'!$I$18</definedName>
    <definedName name="SU_10004_q">'SU 10004'!$N$3</definedName>
    <definedName name="SU_10005">'SU 10005'!$B$6</definedName>
    <definedName name="SU_10005_m">'SU 10005'!$N$12</definedName>
    <definedName name="SU_10005_p">'SU 10005'!$I$17</definedName>
    <definedName name="SU_10005_q">'SU 10005'!$N$3</definedName>
    <definedName name="SU_11001">'SU 11001'!$B$6</definedName>
    <definedName name="SU_11001_m">'SU 11001'!$N$12</definedName>
    <definedName name="SU_11001_p">'SU 11001'!$I$28</definedName>
    <definedName name="SU_11001_q">'SU 11001'!$N$3</definedName>
    <definedName name="SU_11002">'SU 11002'!$B$6</definedName>
    <definedName name="SU_11002_m">'SU 11002'!$N$12</definedName>
    <definedName name="SU_11002_p">'SU 11002'!$I$23</definedName>
    <definedName name="SU_11002_q">'SU 11002'!$N$3</definedName>
    <definedName name="SU_11003">'SU 11003'!$B$6</definedName>
    <definedName name="SU_11003_m">'SU 11003'!$N$12</definedName>
    <definedName name="SU_11003_p">'SU 11003'!$I$18</definedName>
    <definedName name="SU_11003_q">'SU 11003'!$N$3</definedName>
    <definedName name="SU_11004">'SU 11004'!$B$6</definedName>
    <definedName name="SU_11004_m">'SU 11004'!$N$12</definedName>
    <definedName name="SU_11004_p">'SU 11004'!$I$17</definedName>
    <definedName name="SU_11004_q">'SU 11004'!$N$3</definedName>
    <definedName name="SU_12001">'SU 12001'!$B$6</definedName>
    <definedName name="SU_12001_m">'SU 12001'!$N$12</definedName>
    <definedName name="SU_12001_p">'SU 12001'!$I$16</definedName>
    <definedName name="SU_12001_q">'SU 12001'!$N$3</definedName>
    <definedName name="SU_12002">'SU 12002'!$B$6</definedName>
    <definedName name="SU_12002_m">'SU 12002'!$N$12</definedName>
    <definedName name="SU_12002_p">'SU 12002'!$I$19</definedName>
    <definedName name="SU_12002_q">'SU 12002'!$N$3</definedName>
    <definedName name="SU_12003">'SU 12003'!$B$6</definedName>
    <definedName name="SU_12003_m">'SU 12003'!$N$12</definedName>
    <definedName name="SU_12003_p">'SU 12003'!$I$17</definedName>
    <definedName name="SU_12003_q">'SU 12003'!$N$3</definedName>
    <definedName name="SU_12004">'SU 12004'!$B$6</definedName>
    <definedName name="SU_12004_M">'SU 12004'!$N$12</definedName>
    <definedName name="SU_12004_P">'SU 12004'!$I$17</definedName>
    <definedName name="SU_12004_q">'SU 12004'!$N$3</definedName>
    <definedName name="SU_13001">'SU 13001'!$B$6</definedName>
    <definedName name="SU_13001_m">'SU 13001'!$N$12</definedName>
    <definedName name="SU_13001_p">'SU 13001'!$I$20</definedName>
    <definedName name="SU_13001_q">'SU 13001'!$N$3</definedName>
    <definedName name="SU_13002">'SU 13002'!$B$6</definedName>
    <definedName name="SU_13002_m">'SU 13002'!$N$12</definedName>
    <definedName name="SU_13002_p">'SU 13002'!$I$17</definedName>
    <definedName name="SU_13002_q">'SU 13002'!$N$3</definedName>
    <definedName name="SU_A0100">'SU A0100'!$B$5</definedName>
    <definedName name="SU_A0100_BOM">BOM!$C$7</definedName>
    <definedName name="SU_A0100_f">'SU A0100'!$J$58</definedName>
    <definedName name="SU_A0100_m">'SU A0100'!$N$27</definedName>
    <definedName name="SU_A0100_p">'SU A0100'!$I$52</definedName>
    <definedName name="SU_A0100_pa">'SU A0100'!$E$21</definedName>
    <definedName name="SU_A0100_q">'SU A0100'!$N$3</definedName>
    <definedName name="SU_A0100_t">'SU A0100'!$I$62</definedName>
    <definedName name="SU_A0200">'SU A0200'!$B$5</definedName>
    <definedName name="SU_A0200_BOM">BOM!$C$19</definedName>
    <definedName name="SU_A0200_f">'SU A0200'!$J$58</definedName>
    <definedName name="SU_A0200_m">'SU A0200'!$N$27</definedName>
    <definedName name="SU_A0200_p">'SU A0200'!$I$52</definedName>
    <definedName name="SU_A0200_pa">'SU A0200'!$E$21</definedName>
    <definedName name="SU_A0200_q">'SU A0200'!$N$3</definedName>
    <definedName name="SU_A0200_t">'SU A0200'!$I$62</definedName>
    <definedName name="SU_A0300">'SU A0300'!$B$5</definedName>
    <definedName name="SU_A0300_BOM">BOM!$C$31</definedName>
    <definedName name="SU_A0300_f">'SU A0300'!$J$58</definedName>
    <definedName name="SU_A0300_m">'SU A0300'!$N$27</definedName>
    <definedName name="SU_A0300_p">'SU A0300'!$I$52</definedName>
    <definedName name="SU_A0300_pa">'SU A0300'!$E$21</definedName>
    <definedName name="SU_A0300_q">'SU A0300'!$N$3</definedName>
    <definedName name="SU_A0300_t">'SU A0300'!$I$62</definedName>
    <definedName name="SU_A0400">'SU A0400'!$B$5</definedName>
    <definedName name="SU_A0400_BOM">BOM!$C$43</definedName>
    <definedName name="SU_A0400_f">'SU A0400'!$J$58</definedName>
    <definedName name="SU_A0400_m">'SU A0400'!$N$27</definedName>
    <definedName name="SU_A0400_p">'SU A0400'!$I$52</definedName>
    <definedName name="SU_A0400_pa">'SU A0400'!$E$21</definedName>
    <definedName name="SU_A0400_q">'SU A0400'!$N$3</definedName>
    <definedName name="SU_A0400_t">'SU A0400'!$I$62</definedName>
    <definedName name="SU_A0500">'SU A0500'!$B$5</definedName>
    <definedName name="SU_A0500_BOM">BOM!$C$55</definedName>
    <definedName name="SU_A0500_f">'SU A0500'!$J$37</definedName>
    <definedName name="SU_A0500_m">'SU A0500'!$N$18</definedName>
    <definedName name="SU_A0500_p">'SU A0500'!$I$31</definedName>
    <definedName name="SU_A0500_pa">'SU A0500'!$E$11</definedName>
    <definedName name="SU_A0500_q">'SU A0500'!$N$3</definedName>
    <definedName name="SU_A0500_t">'SU A0500'!$I$41</definedName>
    <definedName name="SU_A0600">'SU A0600'!$B$5</definedName>
    <definedName name="SU_A0600_BOM">BOM!$C$57</definedName>
    <definedName name="SU_A0600_f">'SU A0600'!$J$38</definedName>
    <definedName name="SU_A0600_m">'SU A0600'!$N$19</definedName>
    <definedName name="SU_A0600_p">'SU A0600'!$I$32</definedName>
    <definedName name="SU_A0600_pa">'SU A0600'!$E$14</definedName>
    <definedName name="SU_A0600_q">'SU A0600'!$N$3</definedName>
    <definedName name="SU_A0600_t">'SU A0600'!$I$42</definedName>
    <definedName name="SU_A0700">'SU A0700'!$B$5</definedName>
    <definedName name="SU_A0700_BOM">BOM!$C$62</definedName>
    <definedName name="SU_A0700_f">'SU A0700'!$J$37</definedName>
    <definedName name="SU_A0700_m">'SU A0700'!$N$18</definedName>
    <definedName name="SU_A0700_p">'SU A0700'!$I$31</definedName>
    <definedName name="SU_A0700_pa">'SU A0700'!$E$11</definedName>
    <definedName name="SU_A0700_q">'SU A0700'!$N$3</definedName>
    <definedName name="SU_A0700_t">'SU A0700'!$I$41</definedName>
    <definedName name="SU_A0800">'SU A0800'!$B$5</definedName>
    <definedName name="SU_A0800_BOM">BOM!$C$64</definedName>
    <definedName name="SU_A0800_f">'SU A0800'!$J$37</definedName>
    <definedName name="SU_A0800_m">'SU A0800'!$N$18</definedName>
    <definedName name="SU_A0800_p">'SU A0800'!$I$31</definedName>
    <definedName name="SU_A0800_pa">'SU A0800'!$E$13</definedName>
    <definedName name="SU_A0800_q">'SU A0800'!$N$3</definedName>
    <definedName name="SU_A0800_t">'SU A0800'!$I$41</definedName>
    <definedName name="SU_A0900">'SU A0900'!$B$5</definedName>
    <definedName name="SU_A0900_BOM">BOM!$C$68</definedName>
    <definedName name="SU_A0900_f">'SU A0900'!$J$46</definedName>
    <definedName name="SU_A0900_m">'SU A0900'!$N$19</definedName>
    <definedName name="SU_A0900_p">'SU A0900'!$I$38</definedName>
    <definedName name="SU_A0900_pa">'SU A0900'!$E$14</definedName>
    <definedName name="SU_A0900_q">'SU A0900'!$N$3</definedName>
    <definedName name="SU_A1000">'SU A1000'!$B$5</definedName>
    <definedName name="SU_A1000_BOM">BOM!$C$73</definedName>
    <definedName name="SU_A1000_f">'SU A1000'!$J$39</definedName>
    <definedName name="SU_A1000_p">'SU A1000'!$I$30</definedName>
    <definedName name="SU_A1000_pa">'SU A1000'!$E$15</definedName>
    <definedName name="SU_A1000_q">'SU A1000'!$L$3</definedName>
    <definedName name="SU_A1100">'SU A1100 '!$B$5</definedName>
    <definedName name="SU_A1100_BOM">BOM!$C$79</definedName>
    <definedName name="SU_A1100_f">'SU A1100 '!$J$42</definedName>
    <definedName name="SU_A1100_p">'SU A1100 '!$I$30</definedName>
    <definedName name="SU_A1100_pa">'SU A1100 '!$E$14</definedName>
    <definedName name="SU_A1100_q">'SU A1100 '!$N$3</definedName>
    <definedName name="SU_A1200">'SU A1200'!$B$5</definedName>
    <definedName name="SU_A1200_BOM">BOM!$C$84</definedName>
    <definedName name="SU_A1200_f">'SU A1200'!$J$46</definedName>
    <definedName name="SU_A1200_m">'SU A1200'!$N$19</definedName>
    <definedName name="SU_A1200_p">'SU A1200'!$I$38</definedName>
    <definedName name="SU_A1200_pa">'SU A1200'!$E$14</definedName>
    <definedName name="SU_A1200_q">'SU A1200'!$N$3</definedName>
    <definedName name="SU_A1300">'SU A1300'!$B$5</definedName>
    <definedName name="SU_A1300_BOM">BOM!$C$89</definedName>
    <definedName name="SU_A1300_f">'SU A1300'!$J$41</definedName>
    <definedName name="SU_A1300_m">'SU A1300'!$N$17</definedName>
    <definedName name="SU_A1300_p">'SU A1300'!$I$33</definedName>
    <definedName name="SU_A1300_pa">'SU A1300'!$E$12</definedName>
    <definedName name="SU_A1300_q">'SU A1300'!$N$3</definedName>
    <definedName name="SU_A1300_t">'SU A1300'!#REF!</definedName>
    <definedName name="_xlnm.Print_Area" localSheetId="4">'SU 01002'!$A$1:$O$37</definedName>
  </definedNames>
  <calcPr calcId="162913"/>
</workbook>
</file>

<file path=xl/calcChain.xml><?xml version="1.0" encoding="utf-8"?>
<calcChain xmlns="http://schemas.openxmlformats.org/spreadsheetml/2006/main">
  <c r="J11" i="136" l="1"/>
  <c r="J42" i="146"/>
  <c r="J39" i="135"/>
  <c r="D38" i="135"/>
  <c r="J38" i="135" s="1"/>
  <c r="D37" i="135"/>
  <c r="J37" i="135" s="1"/>
  <c r="D36" i="135"/>
  <c r="J36" i="135" s="1"/>
  <c r="D41" i="146"/>
  <c r="J41" i="146" s="1"/>
  <c r="D40" i="146"/>
  <c r="J40" i="146" s="1"/>
  <c r="D39" i="146"/>
  <c r="J39" i="146" s="1"/>
  <c r="D38" i="146" l="1"/>
  <c r="J38" i="146" s="1"/>
  <c r="D37" i="146"/>
  <c r="J37" i="146" s="1"/>
  <c r="D36" i="146"/>
  <c r="J36" i="146" s="1"/>
  <c r="D35" i="146"/>
  <c r="J35" i="146" s="1"/>
  <c r="D34" i="146"/>
  <c r="J34" i="146" s="1"/>
  <c r="D33" i="146"/>
  <c r="J33" i="146" s="1"/>
  <c r="D35" i="135"/>
  <c r="J35" i="135" s="1"/>
  <c r="D34" i="135"/>
  <c r="J34" i="135" s="1"/>
  <c r="D33" i="135"/>
  <c r="H15" i="51" l="1"/>
  <c r="N5" i="78"/>
  <c r="N5" i="76"/>
  <c r="N5" i="74"/>
  <c r="N5" i="72"/>
  <c r="N2" i="72"/>
  <c r="I91" i="8"/>
  <c r="I90" i="8"/>
  <c r="I89" i="8"/>
  <c r="I88" i="8"/>
  <c r="I87" i="8"/>
  <c r="I86" i="8"/>
  <c r="I85" i="8"/>
  <c r="I84" i="8"/>
  <c r="I83" i="8"/>
  <c r="I82" i="8"/>
  <c r="I81" i="8"/>
  <c r="I80" i="8"/>
  <c r="I79" i="8"/>
  <c r="I78" i="8"/>
  <c r="I77" i="8"/>
  <c r="I76" i="8"/>
  <c r="I75" i="8"/>
  <c r="I74" i="8"/>
  <c r="I73" i="8"/>
  <c r="I72" i="8"/>
  <c r="I71" i="8"/>
  <c r="I70" i="8"/>
  <c r="I69" i="8"/>
  <c r="I68" i="8"/>
  <c r="I67" i="8"/>
  <c r="I66" i="8"/>
  <c r="I65" i="8"/>
  <c r="I64" i="8"/>
  <c r="I61" i="8"/>
  <c r="I60" i="8"/>
  <c r="I59" i="8"/>
  <c r="I58" i="8"/>
  <c r="I57" i="8"/>
  <c r="I63" i="8"/>
  <c r="I56" i="8"/>
  <c r="H16" i="129" l="1"/>
  <c r="H14" i="129"/>
  <c r="H16" i="157"/>
  <c r="H14" i="157"/>
  <c r="H19" i="61"/>
  <c r="H17" i="61"/>
  <c r="H15" i="61"/>
  <c r="H19" i="48"/>
  <c r="H17" i="48"/>
  <c r="H15" i="48"/>
  <c r="H19" i="33"/>
  <c r="H17" i="33"/>
  <c r="H15" i="33"/>
  <c r="H19" i="22"/>
  <c r="H17" i="22"/>
  <c r="H15" i="22"/>
  <c r="E11" i="36"/>
  <c r="N11" i="36" s="1"/>
  <c r="K11" i="36"/>
  <c r="J11" i="36"/>
  <c r="I16" i="36"/>
  <c r="E11" i="157"/>
  <c r="N11" i="129"/>
  <c r="E11" i="129"/>
  <c r="C91" i="8" l="1"/>
  <c r="C90" i="8"/>
  <c r="B89" i="8"/>
  <c r="B90" i="8"/>
  <c r="F91" i="8"/>
  <c r="F90" i="8"/>
  <c r="F89" i="8"/>
  <c r="F85" i="8"/>
  <c r="J91" i="8"/>
  <c r="B91" i="8"/>
  <c r="J90" i="8"/>
  <c r="K90" i="8"/>
  <c r="H90" i="8"/>
  <c r="N90" i="8"/>
  <c r="J89" i="8"/>
  <c r="C89" i="8"/>
  <c r="H15" i="166"/>
  <c r="I15" i="166"/>
  <c r="I16" i="166"/>
  <c r="I17" i="166" s="1"/>
  <c r="J11" i="166"/>
  <c r="N11" i="166"/>
  <c r="N12" i="166"/>
  <c r="E11" i="166"/>
  <c r="B4" i="166"/>
  <c r="B3" i="166"/>
  <c r="I15" i="164"/>
  <c r="I17" i="164"/>
  <c r="I20" i="164"/>
  <c r="I19" i="164"/>
  <c r="I18" i="164"/>
  <c r="I16" i="164"/>
  <c r="J11" i="164"/>
  <c r="E11" i="164"/>
  <c r="N11" i="164"/>
  <c r="N12" i="164"/>
  <c r="N2" i="164"/>
  <c r="N5" i="164"/>
  <c r="B4" i="164"/>
  <c r="B3" i="164"/>
  <c r="D36" i="163"/>
  <c r="J36" i="163"/>
  <c r="D37" i="163"/>
  <c r="J37" i="163"/>
  <c r="J38" i="163"/>
  <c r="D39" i="163"/>
  <c r="J39" i="163"/>
  <c r="D40" i="163"/>
  <c r="J40" i="163"/>
  <c r="A37" i="163"/>
  <c r="A38" i="163"/>
  <c r="A39" i="163"/>
  <c r="A40" i="163"/>
  <c r="I20" i="163"/>
  <c r="I21" i="163"/>
  <c r="I22" i="163"/>
  <c r="I23" i="163"/>
  <c r="I24" i="163"/>
  <c r="I25" i="163"/>
  <c r="I26" i="163"/>
  <c r="I27" i="163"/>
  <c r="I28" i="163"/>
  <c r="I29" i="163"/>
  <c r="I30" i="163"/>
  <c r="I31" i="163"/>
  <c r="I32" i="163"/>
  <c r="A26" i="163"/>
  <c r="A27" i="163"/>
  <c r="A28" i="163"/>
  <c r="A29" i="163"/>
  <c r="A30" i="163"/>
  <c r="A31" i="163"/>
  <c r="A32" i="163"/>
  <c r="D15" i="163"/>
  <c r="N15" i="163"/>
  <c r="D16" i="163"/>
  <c r="N16" i="163"/>
  <c r="N17" i="163"/>
  <c r="C10" i="163"/>
  <c r="D10" i="163"/>
  <c r="E10" i="163"/>
  <c r="D11" i="163"/>
  <c r="B11" i="163"/>
  <c r="B10" i="163"/>
  <c r="J88" i="8"/>
  <c r="F88" i="8"/>
  <c r="F87" i="8"/>
  <c r="F86" i="8"/>
  <c r="B84" i="8"/>
  <c r="B85" i="8"/>
  <c r="B86" i="8"/>
  <c r="B87" i="8"/>
  <c r="B88" i="8"/>
  <c r="C88" i="8"/>
  <c r="C87" i="8"/>
  <c r="C86" i="8"/>
  <c r="C85" i="8"/>
  <c r="F84" i="8"/>
  <c r="E88" i="8"/>
  <c r="E86" i="8"/>
  <c r="E87" i="8"/>
  <c r="E85" i="8"/>
  <c r="F73" i="8"/>
  <c r="E78" i="8" s="1"/>
  <c r="J87" i="8"/>
  <c r="J85" i="8"/>
  <c r="K85" i="8"/>
  <c r="H85" i="8"/>
  <c r="N85" i="8"/>
  <c r="J84" i="8"/>
  <c r="C84" i="8"/>
  <c r="H15" i="161"/>
  <c r="I15" i="161"/>
  <c r="I16" i="161"/>
  <c r="I17" i="161" s="1"/>
  <c r="K88" i="8" s="1"/>
  <c r="H88" i="8" s="1"/>
  <c r="N88" i="8" s="1"/>
  <c r="J11" i="161"/>
  <c r="N11" i="161"/>
  <c r="N12" i="161"/>
  <c r="E11" i="161"/>
  <c r="J11" i="159"/>
  <c r="N11" i="159"/>
  <c r="N12" i="159"/>
  <c r="H15" i="159"/>
  <c r="I15" i="159"/>
  <c r="I16" i="159"/>
  <c r="I17" i="159" s="1"/>
  <c r="B4" i="161"/>
  <c r="B3" i="161"/>
  <c r="E11" i="159"/>
  <c r="B4" i="159"/>
  <c r="B3" i="159"/>
  <c r="I14" i="157"/>
  <c r="I19" i="157" s="1"/>
  <c r="K86" i="8" s="1"/>
  <c r="I15" i="157"/>
  <c r="I16" i="157"/>
  <c r="I17" i="157"/>
  <c r="I18" i="157"/>
  <c r="J11" i="157"/>
  <c r="N11" i="157"/>
  <c r="N12" i="157" s="1"/>
  <c r="B4" i="157"/>
  <c r="J11" i="156"/>
  <c r="E11" i="156"/>
  <c r="F15" i="156"/>
  <c r="I15" i="156"/>
  <c r="I16" i="156"/>
  <c r="N11" i="156"/>
  <c r="N12" i="156"/>
  <c r="N2" i="156"/>
  <c r="N5" i="156"/>
  <c r="B4" i="156"/>
  <c r="B3" i="156"/>
  <c r="D41" i="155"/>
  <c r="J41" i="155"/>
  <c r="D42" i="155"/>
  <c r="J42" i="155"/>
  <c r="J43" i="155"/>
  <c r="D44" i="155"/>
  <c r="J44" i="155"/>
  <c r="D45" i="155"/>
  <c r="J45" i="155"/>
  <c r="A42" i="155"/>
  <c r="A43" i="155"/>
  <c r="A44" i="155"/>
  <c r="A45" i="155"/>
  <c r="I22" i="155"/>
  <c r="I23" i="155"/>
  <c r="I24" i="155"/>
  <c r="I25" i="155"/>
  <c r="I26" i="155"/>
  <c r="I27" i="155"/>
  <c r="I28" i="155"/>
  <c r="I29" i="155"/>
  <c r="I30" i="155"/>
  <c r="I31" i="155"/>
  <c r="I32" i="155"/>
  <c r="I33" i="155"/>
  <c r="I34" i="155"/>
  <c r="I35" i="155"/>
  <c r="I36" i="155"/>
  <c r="I37" i="155"/>
  <c r="A23" i="155"/>
  <c r="A24" i="155"/>
  <c r="A25" i="155"/>
  <c r="A26" i="155"/>
  <c r="A27" i="155"/>
  <c r="A28" i="155"/>
  <c r="A29" i="155"/>
  <c r="A30" i="155"/>
  <c r="A31" i="155"/>
  <c r="A32" i="155"/>
  <c r="A33" i="155"/>
  <c r="A34" i="155"/>
  <c r="A35" i="155"/>
  <c r="A36" i="155"/>
  <c r="A37" i="155"/>
  <c r="D17" i="155"/>
  <c r="N17" i="155"/>
  <c r="D18" i="155"/>
  <c r="N18" i="155"/>
  <c r="N19" i="155"/>
  <c r="C10" i="155"/>
  <c r="D10" i="155"/>
  <c r="E10" i="155"/>
  <c r="D11" i="155"/>
  <c r="D12" i="155"/>
  <c r="D13" i="155"/>
  <c r="B13" i="155"/>
  <c r="B12" i="155"/>
  <c r="B4" i="153"/>
  <c r="B4" i="151"/>
  <c r="B4" i="149"/>
  <c r="N2" i="153"/>
  <c r="N2" i="149"/>
  <c r="N2" i="147"/>
  <c r="C13" i="146"/>
  <c r="N2" i="151"/>
  <c r="C12" i="146"/>
  <c r="C11" i="146"/>
  <c r="C10" i="146"/>
  <c r="J83" i="8"/>
  <c r="J82" i="8"/>
  <c r="J81" i="8"/>
  <c r="J80" i="8"/>
  <c r="K83" i="8"/>
  <c r="K82" i="8"/>
  <c r="K81" i="8"/>
  <c r="K80" i="8"/>
  <c r="F79" i="8"/>
  <c r="E81" i="8" s="1"/>
  <c r="E83" i="8"/>
  <c r="F83" i="8"/>
  <c r="F82" i="8"/>
  <c r="F81" i="8"/>
  <c r="F80" i="8"/>
  <c r="C83" i="8"/>
  <c r="C82" i="8"/>
  <c r="C81" i="8"/>
  <c r="C80" i="8"/>
  <c r="C79" i="8"/>
  <c r="H83" i="8"/>
  <c r="N83" i="8"/>
  <c r="B83" i="8"/>
  <c r="H82" i="8"/>
  <c r="N82" i="8"/>
  <c r="B82" i="8"/>
  <c r="H81" i="8"/>
  <c r="N81" i="8"/>
  <c r="B81" i="8"/>
  <c r="H80" i="8"/>
  <c r="N80" i="8"/>
  <c r="B80" i="8"/>
  <c r="B79" i="8"/>
  <c r="E13" i="146"/>
  <c r="H15" i="153"/>
  <c r="I15" i="153"/>
  <c r="I16" i="153"/>
  <c r="I17" i="153"/>
  <c r="J11" i="153"/>
  <c r="E11" i="153"/>
  <c r="N11" i="153"/>
  <c r="N12" i="153"/>
  <c r="N5" i="153"/>
  <c r="B3" i="153"/>
  <c r="I15" i="151"/>
  <c r="I16" i="151"/>
  <c r="I18" i="151"/>
  <c r="I17" i="151"/>
  <c r="J11" i="151"/>
  <c r="E11" i="151"/>
  <c r="N11" i="151"/>
  <c r="N12" i="151"/>
  <c r="N5" i="151"/>
  <c r="B3" i="151"/>
  <c r="I15" i="149"/>
  <c r="I16" i="149"/>
  <c r="I17" i="149"/>
  <c r="I18" i="149"/>
  <c r="I19" i="149"/>
  <c r="I20" i="149"/>
  <c r="I23" i="149"/>
  <c r="I22" i="149"/>
  <c r="I21" i="149"/>
  <c r="J11" i="149"/>
  <c r="E11" i="149"/>
  <c r="N11" i="149"/>
  <c r="N12" i="149"/>
  <c r="N5" i="149"/>
  <c r="B3" i="149"/>
  <c r="I15" i="147"/>
  <c r="I16" i="147"/>
  <c r="I17" i="147"/>
  <c r="I18" i="147"/>
  <c r="I19" i="147"/>
  <c r="I20" i="147"/>
  <c r="I21" i="147"/>
  <c r="I22" i="147"/>
  <c r="I23" i="147"/>
  <c r="I24" i="147"/>
  <c r="I25" i="147"/>
  <c r="I26" i="147"/>
  <c r="I28" i="147"/>
  <c r="I27" i="147"/>
  <c r="J11" i="147"/>
  <c r="E11" i="147"/>
  <c r="N11" i="147"/>
  <c r="N12" i="147"/>
  <c r="N5" i="147"/>
  <c r="B4" i="147"/>
  <c r="B3" i="147"/>
  <c r="L79" i="8"/>
  <c r="I18" i="146"/>
  <c r="I19" i="146"/>
  <c r="I20" i="146"/>
  <c r="I21" i="146"/>
  <c r="I22" i="146"/>
  <c r="I23" i="146"/>
  <c r="I24" i="146"/>
  <c r="I25" i="146"/>
  <c r="I26" i="146"/>
  <c r="I27" i="146"/>
  <c r="I28" i="146"/>
  <c r="I29" i="146"/>
  <c r="D10" i="146"/>
  <c r="E10" i="146" s="1"/>
  <c r="D13" i="146"/>
  <c r="D12" i="146"/>
  <c r="D11" i="146"/>
  <c r="E11" i="146" s="1"/>
  <c r="B10" i="146"/>
  <c r="N2" i="138"/>
  <c r="C11" i="135"/>
  <c r="N2" i="140"/>
  <c r="C12" i="135"/>
  <c r="N2" i="142"/>
  <c r="C13" i="135"/>
  <c r="N2" i="144"/>
  <c r="C14" i="135"/>
  <c r="K78" i="8"/>
  <c r="K77" i="8"/>
  <c r="K76" i="8"/>
  <c r="K75" i="8"/>
  <c r="J78" i="8"/>
  <c r="J77" i="8"/>
  <c r="J76" i="8"/>
  <c r="J75" i="8"/>
  <c r="E75" i="8"/>
  <c r="E77" i="8"/>
  <c r="C78" i="8"/>
  <c r="C77" i="8"/>
  <c r="C76" i="8"/>
  <c r="C75" i="8"/>
  <c r="C74" i="8"/>
  <c r="C73" i="8"/>
  <c r="F78" i="8"/>
  <c r="F77" i="8"/>
  <c r="F76" i="8"/>
  <c r="F75" i="8"/>
  <c r="F74" i="8"/>
  <c r="H78" i="8"/>
  <c r="N78" i="8"/>
  <c r="B78" i="8"/>
  <c r="H77" i="8"/>
  <c r="N77" i="8"/>
  <c r="B77" i="8"/>
  <c r="H76" i="8"/>
  <c r="N76" i="8"/>
  <c r="B76" i="8"/>
  <c r="H75" i="8"/>
  <c r="N75" i="8"/>
  <c r="B75" i="8"/>
  <c r="B74" i="8"/>
  <c r="B73" i="8"/>
  <c r="J72" i="8"/>
  <c r="F72" i="8"/>
  <c r="F71" i="8"/>
  <c r="F70" i="8"/>
  <c r="F69" i="8"/>
  <c r="E66" i="8"/>
  <c r="E67" i="8"/>
  <c r="E65" i="8"/>
  <c r="F68" i="8"/>
  <c r="E71" i="8" s="1"/>
  <c r="E70" i="8"/>
  <c r="E69" i="8"/>
  <c r="C72" i="8"/>
  <c r="B72" i="8"/>
  <c r="L68" i="8"/>
  <c r="K69" i="8"/>
  <c r="K68" i="8"/>
  <c r="J71" i="8"/>
  <c r="J69" i="8"/>
  <c r="J68" i="8"/>
  <c r="B13" i="127"/>
  <c r="B12" i="127"/>
  <c r="B4" i="133"/>
  <c r="B4" i="130"/>
  <c r="B4" i="129"/>
  <c r="F63" i="8"/>
  <c r="F62" i="8"/>
  <c r="C71" i="8"/>
  <c r="C70" i="8"/>
  <c r="C69" i="8"/>
  <c r="C68" i="8"/>
  <c r="B71" i="8"/>
  <c r="B70" i="8"/>
  <c r="H69" i="8"/>
  <c r="N69" i="8"/>
  <c r="B69" i="8"/>
  <c r="H68" i="8"/>
  <c r="N68" i="8"/>
  <c r="B68" i="8"/>
  <c r="B4" i="144"/>
  <c r="B4" i="142"/>
  <c r="B4" i="140"/>
  <c r="B4" i="138"/>
  <c r="H15" i="144"/>
  <c r="I15" i="144"/>
  <c r="I16" i="144"/>
  <c r="I17" i="144"/>
  <c r="J11" i="144"/>
  <c r="E11" i="144"/>
  <c r="N11" i="144"/>
  <c r="N12" i="144"/>
  <c r="N5" i="144"/>
  <c r="B3" i="144"/>
  <c r="I15" i="142"/>
  <c r="I16" i="142"/>
  <c r="I18" i="142"/>
  <c r="I17" i="142"/>
  <c r="J11" i="142"/>
  <c r="E11" i="142"/>
  <c r="N11" i="142"/>
  <c r="N12" i="142"/>
  <c r="N5" i="142"/>
  <c r="B3" i="142"/>
  <c r="I15" i="140"/>
  <c r="I16" i="140"/>
  <c r="I17" i="140"/>
  <c r="I18" i="140"/>
  <c r="I19" i="140"/>
  <c r="I20" i="140"/>
  <c r="I23" i="140"/>
  <c r="I22" i="140"/>
  <c r="I21" i="140"/>
  <c r="J11" i="140"/>
  <c r="E11" i="140"/>
  <c r="N11" i="140"/>
  <c r="N12" i="140"/>
  <c r="N5" i="140"/>
  <c r="B3" i="140"/>
  <c r="I15" i="138"/>
  <c r="I16" i="138"/>
  <c r="I17" i="138"/>
  <c r="I18" i="138"/>
  <c r="I19" i="138"/>
  <c r="J11" i="138"/>
  <c r="E11" i="138"/>
  <c r="N11" i="138"/>
  <c r="N12" i="138"/>
  <c r="N5" i="138"/>
  <c r="B3" i="138"/>
  <c r="I15" i="136"/>
  <c r="I16" i="136"/>
  <c r="I29" i="136" s="1"/>
  <c r="K74" i="8" s="1"/>
  <c r="I17" i="136"/>
  <c r="I18" i="136"/>
  <c r="I19" i="136"/>
  <c r="I20" i="136"/>
  <c r="I21" i="136"/>
  <c r="I22" i="136"/>
  <c r="I23" i="136"/>
  <c r="I24" i="136"/>
  <c r="I25" i="136"/>
  <c r="I26" i="136"/>
  <c r="I28" i="136"/>
  <c r="I27" i="136"/>
  <c r="E11" i="136"/>
  <c r="N11" i="136" s="1"/>
  <c r="N12" i="136" s="1"/>
  <c r="B4" i="136"/>
  <c r="B3" i="136"/>
  <c r="J33" i="135"/>
  <c r="I19" i="135"/>
  <c r="I20" i="135"/>
  <c r="I21" i="135"/>
  <c r="I22" i="135"/>
  <c r="I23" i="135"/>
  <c r="I24" i="135"/>
  <c r="I25" i="135"/>
  <c r="I26" i="135"/>
  <c r="I27" i="135"/>
  <c r="I28" i="135"/>
  <c r="I29" i="135"/>
  <c r="D10" i="135"/>
  <c r="D11" i="135"/>
  <c r="D12" i="135"/>
  <c r="D13" i="135"/>
  <c r="D14" i="135"/>
  <c r="B10" i="135"/>
  <c r="J11" i="133"/>
  <c r="J11" i="130"/>
  <c r="B4" i="116"/>
  <c r="B4" i="114"/>
  <c r="B4" i="113"/>
  <c r="D13" i="111"/>
  <c r="D12" i="111"/>
  <c r="D11" i="111"/>
  <c r="D10" i="111"/>
  <c r="D10" i="118"/>
  <c r="B4" i="126"/>
  <c r="B4" i="124"/>
  <c r="N2" i="123"/>
  <c r="C10" i="122"/>
  <c r="D10" i="122"/>
  <c r="E10" i="122"/>
  <c r="N2" i="124"/>
  <c r="C11" i="122"/>
  <c r="D11" i="122"/>
  <c r="E11" i="122"/>
  <c r="N2" i="126"/>
  <c r="C12" i="122"/>
  <c r="D12" i="122"/>
  <c r="E12" i="122"/>
  <c r="E13" i="122"/>
  <c r="N2" i="122"/>
  <c r="I16" i="133"/>
  <c r="I17" i="133" s="1"/>
  <c r="N11" i="133"/>
  <c r="N12" i="133"/>
  <c r="H15" i="133"/>
  <c r="I15" i="133"/>
  <c r="E11" i="133"/>
  <c r="B3" i="133"/>
  <c r="N11" i="130"/>
  <c r="N12" i="130"/>
  <c r="I15" i="130"/>
  <c r="I16" i="130"/>
  <c r="I17" i="130" s="1"/>
  <c r="N5" i="128"/>
  <c r="N2" i="128"/>
  <c r="C10" i="127"/>
  <c r="B3" i="130"/>
  <c r="E11" i="130"/>
  <c r="J11" i="129"/>
  <c r="N12" i="129"/>
  <c r="I14" i="129"/>
  <c r="I15" i="129"/>
  <c r="I16" i="129"/>
  <c r="I17" i="129"/>
  <c r="I18" i="129"/>
  <c r="B3" i="128"/>
  <c r="B4" i="128"/>
  <c r="J11" i="128"/>
  <c r="E11" i="128"/>
  <c r="N11" i="128"/>
  <c r="N12" i="128"/>
  <c r="F15" i="128"/>
  <c r="I15" i="128"/>
  <c r="I16" i="128"/>
  <c r="N2" i="127"/>
  <c r="N5" i="127"/>
  <c r="E10" i="127"/>
  <c r="D17" i="127"/>
  <c r="N17" i="127"/>
  <c r="D18" i="127"/>
  <c r="N18" i="127"/>
  <c r="N19" i="127"/>
  <c r="I22" i="127"/>
  <c r="A23" i="127"/>
  <c r="I23" i="127"/>
  <c r="A24" i="127"/>
  <c r="I24" i="127"/>
  <c r="A25" i="127"/>
  <c r="I25" i="127"/>
  <c r="A26" i="127"/>
  <c r="I26" i="127"/>
  <c r="A27" i="127"/>
  <c r="I27" i="127"/>
  <c r="A28" i="127"/>
  <c r="I28" i="127"/>
  <c r="A29" i="127"/>
  <c r="I29" i="127"/>
  <c r="A30" i="127"/>
  <c r="I30" i="127"/>
  <c r="A31" i="127"/>
  <c r="I31" i="127"/>
  <c r="A32" i="127"/>
  <c r="I32" i="127"/>
  <c r="A33" i="127"/>
  <c r="I33" i="127"/>
  <c r="A34" i="127"/>
  <c r="I34" i="127"/>
  <c r="A35" i="127"/>
  <c r="I35" i="127"/>
  <c r="A36" i="127"/>
  <c r="I36" i="127"/>
  <c r="A37" i="127"/>
  <c r="I37" i="127"/>
  <c r="I38" i="127"/>
  <c r="D41" i="127"/>
  <c r="J41" i="127"/>
  <c r="A42" i="127"/>
  <c r="D42" i="127"/>
  <c r="J42" i="127"/>
  <c r="A43" i="127"/>
  <c r="J43" i="127"/>
  <c r="A44" i="127"/>
  <c r="D44" i="127"/>
  <c r="J44" i="127"/>
  <c r="A45" i="127"/>
  <c r="D45" i="127"/>
  <c r="J45" i="127"/>
  <c r="J46" i="127"/>
  <c r="C67" i="8"/>
  <c r="C66" i="8"/>
  <c r="C65" i="8"/>
  <c r="C64" i="8"/>
  <c r="B64" i="8"/>
  <c r="B65" i="8"/>
  <c r="J67" i="8"/>
  <c r="K67" i="8"/>
  <c r="H67" i="8"/>
  <c r="N67" i="8"/>
  <c r="B67" i="8"/>
  <c r="J66" i="8"/>
  <c r="K66" i="8"/>
  <c r="H66" i="8"/>
  <c r="N66" i="8"/>
  <c r="B66" i="8"/>
  <c r="J65" i="8"/>
  <c r="K65" i="8"/>
  <c r="H65" i="8"/>
  <c r="N65" i="8"/>
  <c r="J64" i="8"/>
  <c r="K64" i="8"/>
  <c r="L64" i="8"/>
  <c r="M64" i="8"/>
  <c r="H64" i="8"/>
  <c r="N64" i="8"/>
  <c r="I15" i="126"/>
  <c r="I16" i="126"/>
  <c r="I18" i="126"/>
  <c r="I19" i="126"/>
  <c r="J11" i="126"/>
  <c r="E11" i="126"/>
  <c r="N11" i="126"/>
  <c r="N12" i="126"/>
  <c r="N5" i="126"/>
  <c r="B3" i="126"/>
  <c r="I15" i="124"/>
  <c r="I16" i="124"/>
  <c r="I17" i="124"/>
  <c r="J11" i="124"/>
  <c r="N11" i="124"/>
  <c r="N12" i="124"/>
  <c r="E11" i="124"/>
  <c r="N5" i="124"/>
  <c r="B3" i="124"/>
  <c r="I16" i="123"/>
  <c r="I17" i="123"/>
  <c r="J11" i="123"/>
  <c r="E11" i="123"/>
  <c r="N11" i="123"/>
  <c r="N12" i="123"/>
  <c r="N5" i="123"/>
  <c r="B4" i="123"/>
  <c r="B3" i="123"/>
  <c r="I40" i="122"/>
  <c r="I41" i="122"/>
  <c r="D34" i="122"/>
  <c r="J34" i="122"/>
  <c r="J35" i="122"/>
  <c r="D36" i="122"/>
  <c r="J36" i="122"/>
  <c r="J37" i="122"/>
  <c r="F21" i="122"/>
  <c r="I21" i="122"/>
  <c r="I22" i="122"/>
  <c r="I23" i="122"/>
  <c r="I31" i="122"/>
  <c r="I30" i="122"/>
  <c r="I29" i="122"/>
  <c r="I28" i="122"/>
  <c r="I27" i="122"/>
  <c r="I26" i="122"/>
  <c r="I25" i="122"/>
  <c r="I24" i="122"/>
  <c r="N16" i="122"/>
  <c r="N17" i="122"/>
  <c r="N18" i="122"/>
  <c r="N5" i="122"/>
  <c r="I7" i="8"/>
  <c r="I8" i="8"/>
  <c r="I9" i="8"/>
  <c r="I10" i="8"/>
  <c r="N10" i="8" s="1"/>
  <c r="I11" i="8"/>
  <c r="N11" i="8" s="1"/>
  <c r="I12" i="8"/>
  <c r="I13" i="8"/>
  <c r="I14" i="8"/>
  <c r="N14" i="8" s="1"/>
  <c r="I15" i="8"/>
  <c r="N15" i="8" s="1"/>
  <c r="I16" i="8"/>
  <c r="I17" i="8"/>
  <c r="I18" i="8"/>
  <c r="N18" i="8" s="1"/>
  <c r="I19" i="8"/>
  <c r="I20" i="8"/>
  <c r="I21" i="8"/>
  <c r="I22" i="8"/>
  <c r="I23" i="8"/>
  <c r="I24" i="8"/>
  <c r="I25" i="8"/>
  <c r="I26" i="8"/>
  <c r="I27" i="8"/>
  <c r="I28" i="8"/>
  <c r="I29" i="8"/>
  <c r="I30" i="8"/>
  <c r="I31" i="8"/>
  <c r="I32" i="8"/>
  <c r="I33" i="8"/>
  <c r="I34" i="8"/>
  <c r="I35" i="8"/>
  <c r="N35" i="8" s="1"/>
  <c r="I36" i="8"/>
  <c r="I37" i="8"/>
  <c r="I38" i="8"/>
  <c r="I39" i="8"/>
  <c r="N39" i="8" s="1"/>
  <c r="I40" i="8"/>
  <c r="I41" i="8"/>
  <c r="I42" i="8"/>
  <c r="I43" i="8"/>
  <c r="I44" i="8"/>
  <c r="I45" i="8"/>
  <c r="I46" i="8"/>
  <c r="I47" i="8"/>
  <c r="N47" i="8" s="1"/>
  <c r="I48" i="8"/>
  <c r="I49" i="8"/>
  <c r="I50" i="8"/>
  <c r="I51" i="8"/>
  <c r="N51" i="8" s="1"/>
  <c r="I52" i="8"/>
  <c r="I53" i="8"/>
  <c r="I54" i="8"/>
  <c r="N54" i="8" s="1"/>
  <c r="I55" i="8"/>
  <c r="I62" i="8"/>
  <c r="K8" i="8"/>
  <c r="K10" i="8"/>
  <c r="K11" i="8"/>
  <c r="K14" i="8"/>
  <c r="K15" i="8"/>
  <c r="K16" i="8"/>
  <c r="K17" i="8"/>
  <c r="K18" i="8"/>
  <c r="K20" i="8"/>
  <c r="K22" i="8"/>
  <c r="K23" i="8"/>
  <c r="K26" i="8"/>
  <c r="K27" i="8"/>
  <c r="K28" i="8"/>
  <c r="K29" i="8"/>
  <c r="K30" i="8"/>
  <c r="K32" i="8"/>
  <c r="K33" i="8"/>
  <c r="H33" i="8" s="1"/>
  <c r="N33" i="8" s="1"/>
  <c r="K34" i="8"/>
  <c r="K35" i="8"/>
  <c r="K38" i="8"/>
  <c r="K39" i="8"/>
  <c r="K40" i="8"/>
  <c r="K41" i="8"/>
  <c r="K42" i="8"/>
  <c r="K44" i="8"/>
  <c r="K46" i="8"/>
  <c r="K47" i="8"/>
  <c r="K50" i="8"/>
  <c r="K51" i="8"/>
  <c r="K52" i="8"/>
  <c r="K53" i="8"/>
  <c r="K54" i="8"/>
  <c r="I23" i="107"/>
  <c r="I24" i="107"/>
  <c r="I25" i="107"/>
  <c r="I31" i="107"/>
  <c r="K55" i="8"/>
  <c r="K56" i="8"/>
  <c r="K57" i="8"/>
  <c r="K58" i="8"/>
  <c r="K59" i="8"/>
  <c r="K60" i="8"/>
  <c r="K61" i="8"/>
  <c r="K62" i="8"/>
  <c r="K63" i="8"/>
  <c r="F56" i="8"/>
  <c r="F57" i="8"/>
  <c r="F55" i="8"/>
  <c r="C62" i="8"/>
  <c r="C63" i="8"/>
  <c r="B62" i="8"/>
  <c r="B63" i="8"/>
  <c r="J63" i="8"/>
  <c r="H63" i="8"/>
  <c r="N63" i="8"/>
  <c r="E63" i="8"/>
  <c r="N14" i="118"/>
  <c r="N15" i="118"/>
  <c r="N16" i="118"/>
  <c r="N17" i="118"/>
  <c r="N18" i="118"/>
  <c r="J62" i="8"/>
  <c r="L62" i="8"/>
  <c r="M62" i="8"/>
  <c r="H62" i="8"/>
  <c r="N62" i="8"/>
  <c r="I15" i="119"/>
  <c r="I16" i="119"/>
  <c r="I17" i="119"/>
  <c r="I18" i="119"/>
  <c r="I19" i="119"/>
  <c r="I20" i="119"/>
  <c r="I21" i="119"/>
  <c r="I22" i="119"/>
  <c r="J11" i="119"/>
  <c r="E11" i="119"/>
  <c r="N11" i="119"/>
  <c r="N12" i="119"/>
  <c r="N2" i="119"/>
  <c r="N5" i="119"/>
  <c r="B4" i="119"/>
  <c r="B3" i="119"/>
  <c r="I40" i="118"/>
  <c r="I41" i="118"/>
  <c r="D34" i="118"/>
  <c r="J34" i="118"/>
  <c r="J35" i="118"/>
  <c r="D36" i="118"/>
  <c r="J36" i="118"/>
  <c r="J37" i="118"/>
  <c r="I23" i="118"/>
  <c r="I24" i="118"/>
  <c r="I25" i="118"/>
  <c r="I31" i="118"/>
  <c r="I30" i="118"/>
  <c r="I29" i="118"/>
  <c r="I28" i="118"/>
  <c r="I27" i="118"/>
  <c r="I26" i="118"/>
  <c r="I22" i="118"/>
  <c r="F21" i="118"/>
  <c r="I21" i="118"/>
  <c r="C10" i="118"/>
  <c r="E10" i="118"/>
  <c r="E11" i="118"/>
  <c r="N2" i="118"/>
  <c r="N5" i="118"/>
  <c r="J61" i="8"/>
  <c r="H61" i="8"/>
  <c r="N61" i="8"/>
  <c r="C61" i="8"/>
  <c r="B61" i="8"/>
  <c r="J60" i="8"/>
  <c r="H60" i="8"/>
  <c r="N60" i="8"/>
  <c r="C60" i="8"/>
  <c r="B60" i="8"/>
  <c r="J59" i="8"/>
  <c r="H59" i="8"/>
  <c r="N59" i="8"/>
  <c r="C59" i="8"/>
  <c r="B59" i="8"/>
  <c r="J58" i="8"/>
  <c r="H58" i="8"/>
  <c r="N58" i="8"/>
  <c r="C58" i="8"/>
  <c r="N17" i="111"/>
  <c r="N18" i="111"/>
  <c r="N19" i="111"/>
  <c r="J57" i="8"/>
  <c r="L57" i="8"/>
  <c r="I41" i="111"/>
  <c r="I42" i="111"/>
  <c r="M57" i="8"/>
  <c r="H57" i="8"/>
  <c r="N57" i="8"/>
  <c r="C57" i="8"/>
  <c r="I15" i="116"/>
  <c r="I16" i="116"/>
  <c r="I18" i="116"/>
  <c r="I19" i="116"/>
  <c r="J11" i="116"/>
  <c r="E11" i="116"/>
  <c r="N11" i="116"/>
  <c r="N12" i="116"/>
  <c r="N2" i="116"/>
  <c r="N5" i="116"/>
  <c r="B3" i="116"/>
  <c r="I15" i="114"/>
  <c r="I16" i="114"/>
  <c r="I17" i="114"/>
  <c r="J11" i="114"/>
  <c r="N11" i="114"/>
  <c r="N12" i="114"/>
  <c r="E11" i="114"/>
  <c r="N2" i="114"/>
  <c r="N5" i="114"/>
  <c r="B3" i="114"/>
  <c r="I16" i="113"/>
  <c r="I17" i="113"/>
  <c r="J11" i="113"/>
  <c r="E11" i="113"/>
  <c r="N11" i="113"/>
  <c r="N12" i="113"/>
  <c r="N2" i="113"/>
  <c r="N5" i="113"/>
  <c r="B3" i="113"/>
  <c r="I16" i="112"/>
  <c r="I17" i="112"/>
  <c r="J11" i="112"/>
  <c r="E11" i="112"/>
  <c r="N11" i="112"/>
  <c r="N12" i="112"/>
  <c r="N2" i="112"/>
  <c r="N5" i="112"/>
  <c r="B4" i="112"/>
  <c r="B3" i="112"/>
  <c r="D35" i="111"/>
  <c r="J35" i="111"/>
  <c r="J36" i="111"/>
  <c r="D37" i="111"/>
  <c r="J37" i="111"/>
  <c r="J38" i="111"/>
  <c r="I22" i="111"/>
  <c r="I23" i="111"/>
  <c r="I24" i="111"/>
  <c r="I32" i="111"/>
  <c r="I31" i="111"/>
  <c r="I30" i="111"/>
  <c r="I29" i="111"/>
  <c r="I28" i="111"/>
  <c r="I27" i="111"/>
  <c r="I26" i="111"/>
  <c r="I25" i="111"/>
  <c r="C10" i="111"/>
  <c r="E10" i="111"/>
  <c r="C11" i="111"/>
  <c r="E11" i="111"/>
  <c r="C12" i="111"/>
  <c r="E12" i="111"/>
  <c r="C13" i="111"/>
  <c r="E13" i="111"/>
  <c r="E14" i="111"/>
  <c r="N2" i="111"/>
  <c r="N5" i="111"/>
  <c r="C56" i="8"/>
  <c r="J56" i="8"/>
  <c r="H56" i="8"/>
  <c r="N56" i="8"/>
  <c r="E56" i="8"/>
  <c r="N14" i="107"/>
  <c r="N15" i="107"/>
  <c r="N16" i="107"/>
  <c r="N17" i="107"/>
  <c r="N18" i="107"/>
  <c r="J55" i="8"/>
  <c r="J34" i="107"/>
  <c r="J35" i="107"/>
  <c r="J36" i="107"/>
  <c r="J37" i="107"/>
  <c r="L55" i="8"/>
  <c r="M55" i="8"/>
  <c r="H55" i="8"/>
  <c r="N55" i="8"/>
  <c r="I15" i="108"/>
  <c r="I16" i="108"/>
  <c r="I17" i="108"/>
  <c r="I18" i="108"/>
  <c r="I19" i="108"/>
  <c r="I20" i="108"/>
  <c r="I21" i="108"/>
  <c r="I22" i="108"/>
  <c r="J11" i="108"/>
  <c r="E11" i="108"/>
  <c r="N11" i="108"/>
  <c r="N12" i="108"/>
  <c r="N2" i="108"/>
  <c r="N5" i="108"/>
  <c r="B4" i="108"/>
  <c r="B3" i="108"/>
  <c r="I40" i="107"/>
  <c r="I41" i="107"/>
  <c r="D34" i="107"/>
  <c r="D36" i="107"/>
  <c r="I30" i="107"/>
  <c r="I29" i="107"/>
  <c r="I28" i="107"/>
  <c r="I27" i="107"/>
  <c r="I26" i="107"/>
  <c r="I22" i="107"/>
  <c r="F21" i="107"/>
  <c r="I21" i="107"/>
  <c r="C10" i="107"/>
  <c r="D10" i="107"/>
  <c r="E10" i="107"/>
  <c r="E11" i="107"/>
  <c r="N2" i="107"/>
  <c r="N5" i="107"/>
  <c r="J11" i="103"/>
  <c r="J11" i="105"/>
  <c r="I16" i="105"/>
  <c r="I17" i="105"/>
  <c r="I18" i="105"/>
  <c r="I19" i="105"/>
  <c r="F20" i="105"/>
  <c r="I20" i="105"/>
  <c r="I21" i="105"/>
  <c r="N11" i="105"/>
  <c r="E12" i="105"/>
  <c r="N12" i="105"/>
  <c r="N13" i="105"/>
  <c r="E11" i="105"/>
  <c r="N2" i="105"/>
  <c r="N5" i="105"/>
  <c r="B3" i="105"/>
  <c r="I16" i="103"/>
  <c r="I17" i="103"/>
  <c r="I18" i="103"/>
  <c r="I19" i="103"/>
  <c r="F20" i="103"/>
  <c r="I20" i="103"/>
  <c r="I21" i="103"/>
  <c r="N11" i="103"/>
  <c r="E12" i="103"/>
  <c r="N12" i="103"/>
  <c r="N13" i="103"/>
  <c r="E11" i="103"/>
  <c r="N2" i="103"/>
  <c r="N5" i="103"/>
  <c r="B3" i="103"/>
  <c r="J11" i="101"/>
  <c r="I16" i="101"/>
  <c r="I17" i="101"/>
  <c r="I18" i="101"/>
  <c r="I19" i="101"/>
  <c r="F20" i="101"/>
  <c r="I20" i="101"/>
  <c r="I21" i="101"/>
  <c r="N11" i="101"/>
  <c r="E12" i="101"/>
  <c r="N12" i="101"/>
  <c r="N13" i="101"/>
  <c r="E11" i="101"/>
  <c r="N2" i="101"/>
  <c r="N5" i="101"/>
  <c r="B3" i="101"/>
  <c r="B3" i="99"/>
  <c r="J11" i="99"/>
  <c r="J11" i="97"/>
  <c r="J11" i="95"/>
  <c r="J11" i="93"/>
  <c r="F20" i="99"/>
  <c r="F20" i="97"/>
  <c r="F20" i="95"/>
  <c r="F20" i="93"/>
  <c r="F20" i="89"/>
  <c r="F20" i="87"/>
  <c r="F20" i="85"/>
  <c r="F20" i="83"/>
  <c r="F20" i="78"/>
  <c r="F20" i="76"/>
  <c r="F20" i="74"/>
  <c r="F20" i="72"/>
  <c r="F20" i="91"/>
  <c r="J11" i="91"/>
  <c r="I16" i="99"/>
  <c r="I17" i="99"/>
  <c r="I18" i="99"/>
  <c r="I19" i="99"/>
  <c r="I20" i="99"/>
  <c r="I21" i="99"/>
  <c r="N11" i="99"/>
  <c r="E12" i="99"/>
  <c r="N12" i="99"/>
  <c r="N13" i="99"/>
  <c r="E11" i="99"/>
  <c r="N2" i="99"/>
  <c r="N5" i="99"/>
  <c r="N2" i="65"/>
  <c r="I15" i="65"/>
  <c r="I16" i="65"/>
  <c r="J11" i="65"/>
  <c r="N11" i="65"/>
  <c r="N12" i="65"/>
  <c r="B3" i="70"/>
  <c r="I15" i="70"/>
  <c r="I16" i="70"/>
  <c r="J11" i="70"/>
  <c r="E11" i="70" s="1"/>
  <c r="N11" i="70" s="1"/>
  <c r="N12" i="70" s="1"/>
  <c r="J11" i="57"/>
  <c r="E11" i="57"/>
  <c r="N11" i="57"/>
  <c r="N12" i="57" s="1"/>
  <c r="J37" i="8" s="1"/>
  <c r="I15" i="57"/>
  <c r="I16" i="57"/>
  <c r="I17" i="57" s="1"/>
  <c r="K37" i="8" s="1"/>
  <c r="B3" i="57"/>
  <c r="F15" i="63"/>
  <c r="I15" i="63"/>
  <c r="N12" i="63"/>
  <c r="J11" i="63"/>
  <c r="E11" i="63"/>
  <c r="D11" i="63"/>
  <c r="N11" i="63"/>
  <c r="F15" i="62"/>
  <c r="I15" i="62"/>
  <c r="N12" i="62"/>
  <c r="J11" i="62"/>
  <c r="E11" i="62"/>
  <c r="D11" i="62"/>
  <c r="N11" i="62"/>
  <c r="I20" i="61"/>
  <c r="I19" i="61"/>
  <c r="I18" i="61"/>
  <c r="I17" i="61"/>
  <c r="I16" i="61"/>
  <c r="I15" i="61"/>
  <c r="D11" i="61"/>
  <c r="J11" i="61"/>
  <c r="E11" i="61"/>
  <c r="N11" i="61"/>
  <c r="I16" i="60"/>
  <c r="I22" i="60"/>
  <c r="I23" i="60"/>
  <c r="I21" i="60"/>
  <c r="I20" i="60"/>
  <c r="I19" i="60"/>
  <c r="I18" i="60"/>
  <c r="I17" i="60"/>
  <c r="I15" i="60"/>
  <c r="N11" i="60"/>
  <c r="N12" i="60"/>
  <c r="N2" i="60"/>
  <c r="J11" i="60"/>
  <c r="I51" i="59"/>
  <c r="I50" i="59"/>
  <c r="I49" i="59"/>
  <c r="I48" i="59"/>
  <c r="I47" i="59"/>
  <c r="I46" i="59"/>
  <c r="I45" i="59"/>
  <c r="I44" i="59"/>
  <c r="I43" i="59"/>
  <c r="I42" i="59"/>
  <c r="I41" i="59"/>
  <c r="I40" i="59"/>
  <c r="I39" i="59"/>
  <c r="I38" i="59"/>
  <c r="I37" i="59"/>
  <c r="I36" i="59"/>
  <c r="I35" i="59"/>
  <c r="I34" i="59"/>
  <c r="I33" i="59"/>
  <c r="I32" i="59"/>
  <c r="I31" i="59"/>
  <c r="I30" i="59"/>
  <c r="I52" i="59" s="1"/>
  <c r="K43" i="8" s="1"/>
  <c r="N12" i="61"/>
  <c r="D11" i="59"/>
  <c r="I16" i="62"/>
  <c r="N2" i="62"/>
  <c r="C12" i="59"/>
  <c r="D12" i="59"/>
  <c r="E12" i="59"/>
  <c r="I16" i="63"/>
  <c r="N2" i="63"/>
  <c r="C13" i="59"/>
  <c r="D13" i="59"/>
  <c r="E13" i="59"/>
  <c r="D14" i="59"/>
  <c r="D15" i="59"/>
  <c r="C16" i="59"/>
  <c r="E16" i="59" s="1"/>
  <c r="D16" i="59"/>
  <c r="C17" i="59"/>
  <c r="D17" i="59"/>
  <c r="E17" i="59"/>
  <c r="C18" i="59"/>
  <c r="D18" i="59"/>
  <c r="E18" i="59"/>
  <c r="C19" i="59"/>
  <c r="E19" i="59" s="1"/>
  <c r="D19" i="59"/>
  <c r="C20" i="59"/>
  <c r="E20" i="59" s="1"/>
  <c r="D20" i="59"/>
  <c r="D10" i="59"/>
  <c r="C10" i="59"/>
  <c r="B20" i="59"/>
  <c r="B19" i="59"/>
  <c r="B18" i="59"/>
  <c r="B17" i="59"/>
  <c r="B16" i="59"/>
  <c r="B15" i="59"/>
  <c r="B14" i="59"/>
  <c r="B13" i="59"/>
  <c r="B12" i="59"/>
  <c r="B11" i="59"/>
  <c r="B10" i="59"/>
  <c r="E10" i="59"/>
  <c r="F61" i="59"/>
  <c r="I61" i="59" s="1"/>
  <c r="I62" i="59" s="1"/>
  <c r="M43" i="8" s="1"/>
  <c r="D55" i="59"/>
  <c r="J55" i="59" s="1"/>
  <c r="D56" i="59"/>
  <c r="J56" i="59"/>
  <c r="J57" i="59"/>
  <c r="F61" i="46"/>
  <c r="I61" i="46" s="1"/>
  <c r="I62" i="46" s="1"/>
  <c r="M31" i="8" s="1"/>
  <c r="J54" i="8"/>
  <c r="J53" i="8"/>
  <c r="J52" i="8"/>
  <c r="J51" i="8"/>
  <c r="J50" i="8"/>
  <c r="J47" i="8"/>
  <c r="J46" i="8"/>
  <c r="J45" i="8"/>
  <c r="J44" i="8"/>
  <c r="D24" i="59"/>
  <c r="N24" i="59"/>
  <c r="N27" i="59" s="1"/>
  <c r="J43" i="8" s="1"/>
  <c r="N25" i="59"/>
  <c r="N26" i="59"/>
  <c r="F54" i="8"/>
  <c r="F53" i="8"/>
  <c r="F52" i="8"/>
  <c r="F51" i="8"/>
  <c r="F50" i="8"/>
  <c r="F49" i="8"/>
  <c r="F48" i="8"/>
  <c r="F47" i="8"/>
  <c r="F46" i="8"/>
  <c r="F45" i="8"/>
  <c r="F44" i="8"/>
  <c r="F43" i="8"/>
  <c r="E45" i="8"/>
  <c r="E46" i="8"/>
  <c r="E47" i="8"/>
  <c r="E48" i="8"/>
  <c r="E49" i="8"/>
  <c r="E50" i="8"/>
  <c r="E51" i="8"/>
  <c r="E52" i="8"/>
  <c r="E53" i="8"/>
  <c r="E54" i="8"/>
  <c r="E44" i="8"/>
  <c r="C54" i="8"/>
  <c r="C53" i="8"/>
  <c r="C52" i="8"/>
  <c r="C51" i="8"/>
  <c r="C50" i="8"/>
  <c r="C49" i="8"/>
  <c r="C48" i="8"/>
  <c r="C47" i="8"/>
  <c r="C46" i="8"/>
  <c r="C45" i="8"/>
  <c r="C44" i="8"/>
  <c r="C43" i="8"/>
  <c r="H54" i="8"/>
  <c r="F31" i="8"/>
  <c r="H53" i="8"/>
  <c r="N53" i="8"/>
  <c r="H52" i="8"/>
  <c r="N52" i="8"/>
  <c r="H51" i="8"/>
  <c r="H50" i="8"/>
  <c r="N50" i="8"/>
  <c r="H47" i="8"/>
  <c r="H46" i="8"/>
  <c r="N46" i="8"/>
  <c r="H44" i="8"/>
  <c r="N44" i="8"/>
  <c r="B92" i="8"/>
  <c r="J8" i="8"/>
  <c r="J9" i="8"/>
  <c r="J10" i="8"/>
  <c r="J11" i="8"/>
  <c r="J14" i="8"/>
  <c r="J15" i="8"/>
  <c r="J16" i="8"/>
  <c r="J17" i="8"/>
  <c r="J18" i="8"/>
  <c r="J20" i="8"/>
  <c r="J21" i="8"/>
  <c r="J22" i="8"/>
  <c r="J23" i="8"/>
  <c r="J26" i="8"/>
  <c r="J27" i="8"/>
  <c r="J28" i="8"/>
  <c r="J29" i="8"/>
  <c r="J30" i="8"/>
  <c r="J32" i="8"/>
  <c r="J33" i="8"/>
  <c r="J34" i="8"/>
  <c r="J35" i="8"/>
  <c r="J38" i="8"/>
  <c r="N11" i="91"/>
  <c r="E12" i="91"/>
  <c r="N12" i="91"/>
  <c r="N13" i="91"/>
  <c r="J39" i="8"/>
  <c r="N11" i="93"/>
  <c r="E12" i="93"/>
  <c r="N12" i="93"/>
  <c r="N13" i="93"/>
  <c r="J40" i="8"/>
  <c r="N11" i="95"/>
  <c r="E12" i="95"/>
  <c r="N12" i="95"/>
  <c r="N13" i="95"/>
  <c r="J41" i="8"/>
  <c r="N11" i="97"/>
  <c r="E12" i="97"/>
  <c r="N12" i="97"/>
  <c r="N13" i="97"/>
  <c r="J42" i="8"/>
  <c r="I20" i="72"/>
  <c r="I21" i="72"/>
  <c r="I20" i="74"/>
  <c r="I21" i="74"/>
  <c r="I20" i="76"/>
  <c r="I21" i="76"/>
  <c r="I20" i="78"/>
  <c r="I21" i="78"/>
  <c r="I20" i="83"/>
  <c r="I21" i="83"/>
  <c r="I20" i="85"/>
  <c r="I21" i="85"/>
  <c r="I20" i="87"/>
  <c r="I21" i="87"/>
  <c r="I20" i="89"/>
  <c r="I21" i="89"/>
  <c r="I20" i="91"/>
  <c r="I17" i="91"/>
  <c r="I21" i="91"/>
  <c r="I20" i="93"/>
  <c r="I17" i="93"/>
  <c r="I21" i="93"/>
  <c r="I20" i="95"/>
  <c r="I17" i="95"/>
  <c r="I21" i="95"/>
  <c r="I20" i="97"/>
  <c r="I17" i="97"/>
  <c r="I21" i="97"/>
  <c r="H8" i="8"/>
  <c r="N8" i="8"/>
  <c r="H10" i="8"/>
  <c r="H11" i="8"/>
  <c r="H14" i="8"/>
  <c r="H15" i="8"/>
  <c r="H16" i="8"/>
  <c r="N16" i="8"/>
  <c r="H17" i="8"/>
  <c r="N17" i="8"/>
  <c r="H18" i="8"/>
  <c r="H20" i="8"/>
  <c r="N20" i="8"/>
  <c r="H22" i="8"/>
  <c r="N22" i="8"/>
  <c r="H23" i="8"/>
  <c r="N23" i="8"/>
  <c r="H26" i="8"/>
  <c r="N26" i="8"/>
  <c r="H27" i="8"/>
  <c r="N27" i="8"/>
  <c r="H28" i="8"/>
  <c r="N28" i="8"/>
  <c r="H29" i="8"/>
  <c r="N29" i="8"/>
  <c r="H30" i="8"/>
  <c r="N30" i="8"/>
  <c r="H32" i="8"/>
  <c r="N32" i="8"/>
  <c r="H34" i="8"/>
  <c r="N34" i="8"/>
  <c r="H35" i="8"/>
  <c r="H38" i="8"/>
  <c r="N38" i="8"/>
  <c r="H39" i="8"/>
  <c r="H40" i="8"/>
  <c r="N40" i="8"/>
  <c r="H41" i="8"/>
  <c r="N41" i="8"/>
  <c r="H42" i="8"/>
  <c r="N42" i="8"/>
  <c r="I15" i="52"/>
  <c r="J11" i="52"/>
  <c r="N11" i="52"/>
  <c r="I20" i="48"/>
  <c r="I19" i="48"/>
  <c r="I18" i="48"/>
  <c r="I17" i="48"/>
  <c r="I16" i="48"/>
  <c r="I15" i="48"/>
  <c r="D11" i="48"/>
  <c r="J11" i="48"/>
  <c r="E11" i="48"/>
  <c r="N11" i="48"/>
  <c r="N11" i="47"/>
  <c r="D11" i="47"/>
  <c r="J11" i="47"/>
  <c r="I16" i="47"/>
  <c r="I22" i="47"/>
  <c r="I24" i="47"/>
  <c r="I26" i="47"/>
  <c r="I25" i="47"/>
  <c r="I23" i="47"/>
  <c r="I21" i="47"/>
  <c r="I20" i="47"/>
  <c r="I19" i="47"/>
  <c r="I18" i="47"/>
  <c r="I17" i="47"/>
  <c r="I15" i="47"/>
  <c r="I51" i="46"/>
  <c r="I50" i="46"/>
  <c r="I49" i="46"/>
  <c r="I48" i="46"/>
  <c r="I47" i="46"/>
  <c r="I46" i="46"/>
  <c r="I45" i="46"/>
  <c r="I44" i="46"/>
  <c r="I43" i="46"/>
  <c r="I42" i="46"/>
  <c r="I41" i="46"/>
  <c r="I40" i="46"/>
  <c r="I39" i="46"/>
  <c r="I38" i="46"/>
  <c r="I37" i="46"/>
  <c r="I36" i="46"/>
  <c r="I35" i="46"/>
  <c r="I34" i="46"/>
  <c r="I33" i="46"/>
  <c r="I32" i="46"/>
  <c r="I52" i="46" s="1"/>
  <c r="K31" i="8" s="1"/>
  <c r="I31" i="46"/>
  <c r="I30" i="46"/>
  <c r="D24" i="46"/>
  <c r="N24" i="46"/>
  <c r="N27" i="46" s="1"/>
  <c r="J31" i="8" s="1"/>
  <c r="N25" i="46"/>
  <c r="N26" i="46"/>
  <c r="D20" i="46"/>
  <c r="D19" i="46"/>
  <c r="D18" i="46"/>
  <c r="D17" i="46"/>
  <c r="N2" i="97"/>
  <c r="C20" i="46"/>
  <c r="E20" i="46" s="1"/>
  <c r="N2" i="95"/>
  <c r="C19" i="46"/>
  <c r="N2" i="93"/>
  <c r="C18" i="46"/>
  <c r="E18" i="46" s="1"/>
  <c r="N2" i="91"/>
  <c r="C17" i="46"/>
  <c r="B20" i="46"/>
  <c r="B19" i="46"/>
  <c r="B18" i="46"/>
  <c r="B17" i="46"/>
  <c r="E19" i="46"/>
  <c r="E17" i="46"/>
  <c r="F42" i="8"/>
  <c r="F41" i="8"/>
  <c r="F40" i="8"/>
  <c r="F39" i="8"/>
  <c r="F38" i="8"/>
  <c r="C42" i="8"/>
  <c r="C41" i="8"/>
  <c r="C40" i="8"/>
  <c r="C39" i="8"/>
  <c r="E39" i="8"/>
  <c r="E40" i="8"/>
  <c r="E41" i="8"/>
  <c r="E42" i="8"/>
  <c r="I16" i="97"/>
  <c r="I18" i="97"/>
  <c r="I19" i="97"/>
  <c r="E11" i="97"/>
  <c r="N5" i="97"/>
  <c r="B3" i="97"/>
  <c r="I16" i="95"/>
  <c r="I18" i="95"/>
  <c r="I19" i="95"/>
  <c r="E11" i="95"/>
  <c r="N5" i="95"/>
  <c r="B3" i="95"/>
  <c r="I16" i="93"/>
  <c r="I18" i="93"/>
  <c r="I19" i="93"/>
  <c r="E11" i="93"/>
  <c r="N5" i="93"/>
  <c r="B3" i="93"/>
  <c r="I16" i="91"/>
  <c r="I18" i="91"/>
  <c r="I19" i="91"/>
  <c r="E11" i="91"/>
  <c r="N5" i="91"/>
  <c r="B3" i="91"/>
  <c r="F30" i="8"/>
  <c r="F29" i="8"/>
  <c r="F28" i="8"/>
  <c r="F27" i="8"/>
  <c r="J11" i="87"/>
  <c r="I17" i="83"/>
  <c r="N2" i="83"/>
  <c r="N5" i="83"/>
  <c r="I17" i="89"/>
  <c r="N2" i="89"/>
  <c r="N5" i="89"/>
  <c r="N11" i="87"/>
  <c r="E12" i="87"/>
  <c r="N12" i="87"/>
  <c r="N13" i="87"/>
  <c r="I17" i="87"/>
  <c r="N2" i="87"/>
  <c r="N5" i="87"/>
  <c r="I17" i="85"/>
  <c r="N2" i="85"/>
  <c r="N5" i="85"/>
  <c r="J11" i="85"/>
  <c r="J11" i="83"/>
  <c r="I16" i="89"/>
  <c r="I18" i="89"/>
  <c r="I19" i="89"/>
  <c r="J11" i="89"/>
  <c r="N11" i="89"/>
  <c r="E12" i="89"/>
  <c r="N12" i="89"/>
  <c r="N13" i="89"/>
  <c r="E11" i="89"/>
  <c r="B3" i="89"/>
  <c r="I16" i="87"/>
  <c r="I18" i="87"/>
  <c r="I19" i="87"/>
  <c r="E11" i="87"/>
  <c r="B3" i="87"/>
  <c r="I16" i="85"/>
  <c r="I18" i="85"/>
  <c r="I19" i="85"/>
  <c r="N11" i="85"/>
  <c r="E12" i="85"/>
  <c r="N12" i="85"/>
  <c r="N13" i="85"/>
  <c r="E11" i="85"/>
  <c r="B3" i="85"/>
  <c r="B3" i="83"/>
  <c r="I16" i="83"/>
  <c r="I18" i="83"/>
  <c r="I19" i="83"/>
  <c r="N11" i="83"/>
  <c r="E12" i="83"/>
  <c r="N12" i="83"/>
  <c r="N13" i="83"/>
  <c r="E11" i="83"/>
  <c r="F61" i="31"/>
  <c r="I61" i="31" s="1"/>
  <c r="I62" i="31" s="1"/>
  <c r="M19" i="8" s="1"/>
  <c r="I30" i="31"/>
  <c r="I31" i="31"/>
  <c r="I32" i="31"/>
  <c r="I52" i="31" s="1"/>
  <c r="K19" i="8" s="1"/>
  <c r="I33" i="31"/>
  <c r="I34" i="31"/>
  <c r="I35" i="31"/>
  <c r="I36" i="31"/>
  <c r="I37" i="31"/>
  <c r="I38" i="31"/>
  <c r="I39" i="31"/>
  <c r="I40" i="31"/>
  <c r="I41" i="31"/>
  <c r="I42" i="31"/>
  <c r="I43" i="31"/>
  <c r="I44" i="31"/>
  <c r="I45" i="31"/>
  <c r="I46" i="31"/>
  <c r="I47" i="31"/>
  <c r="I48" i="31"/>
  <c r="I49" i="31"/>
  <c r="I50" i="31"/>
  <c r="I51" i="31"/>
  <c r="I15" i="37"/>
  <c r="J11" i="37"/>
  <c r="N11" i="37"/>
  <c r="J11" i="44"/>
  <c r="E11" i="44" s="1"/>
  <c r="N11" i="44" s="1"/>
  <c r="N12" i="44" s="1"/>
  <c r="J25" i="8" s="1"/>
  <c r="I16" i="44"/>
  <c r="I15" i="44"/>
  <c r="I17" i="44" s="1"/>
  <c r="I15" i="36"/>
  <c r="I15" i="33"/>
  <c r="I16" i="33"/>
  <c r="I17" i="33"/>
  <c r="I18" i="33"/>
  <c r="I19" i="33"/>
  <c r="I20" i="33"/>
  <c r="D11" i="33"/>
  <c r="J11" i="33"/>
  <c r="E11" i="33"/>
  <c r="N11" i="33"/>
  <c r="N12" i="33"/>
  <c r="D11" i="31"/>
  <c r="N12" i="36"/>
  <c r="D14" i="31"/>
  <c r="D15" i="31"/>
  <c r="N12" i="37"/>
  <c r="I16" i="37"/>
  <c r="N2" i="37"/>
  <c r="C16" i="31"/>
  <c r="D16" i="31"/>
  <c r="E16" i="31"/>
  <c r="N2" i="32"/>
  <c r="C10" i="31"/>
  <c r="D10" i="31"/>
  <c r="E10" i="31"/>
  <c r="C12" i="31"/>
  <c r="D12" i="31"/>
  <c r="E12" i="31"/>
  <c r="C13" i="31"/>
  <c r="E13" i="31" s="1"/>
  <c r="D13" i="31"/>
  <c r="D24" i="31"/>
  <c r="N24" i="31"/>
  <c r="N27" i="31" s="1"/>
  <c r="J19" i="8" s="1"/>
  <c r="N25" i="31"/>
  <c r="N26" i="31"/>
  <c r="D55" i="31"/>
  <c r="J55" i="31" s="1"/>
  <c r="D56" i="31"/>
  <c r="J56" i="31"/>
  <c r="J57" i="31"/>
  <c r="I16" i="32"/>
  <c r="I22" i="32"/>
  <c r="I23" i="32"/>
  <c r="I21" i="32"/>
  <c r="I20" i="32"/>
  <c r="I19" i="32"/>
  <c r="I18" i="32"/>
  <c r="I17" i="32"/>
  <c r="I15" i="32"/>
  <c r="J11" i="32"/>
  <c r="C30" i="8"/>
  <c r="C29" i="8"/>
  <c r="C28" i="8"/>
  <c r="C27" i="8"/>
  <c r="E33" i="8"/>
  <c r="E34" i="8"/>
  <c r="E35" i="8"/>
  <c r="E36" i="8"/>
  <c r="E37" i="8"/>
  <c r="E38" i="8"/>
  <c r="E32" i="8"/>
  <c r="F19" i="8"/>
  <c r="E28" i="8" s="1"/>
  <c r="E27" i="8"/>
  <c r="E30" i="8"/>
  <c r="D20" i="31"/>
  <c r="D19" i="31"/>
  <c r="D18" i="31"/>
  <c r="D17" i="31"/>
  <c r="C20" i="31"/>
  <c r="C19" i="31"/>
  <c r="C18" i="31"/>
  <c r="C17" i="31"/>
  <c r="B20" i="31"/>
  <c r="B19" i="31"/>
  <c r="B18" i="31"/>
  <c r="B17" i="31"/>
  <c r="E20" i="31"/>
  <c r="E19" i="31"/>
  <c r="E18" i="31"/>
  <c r="E17" i="31"/>
  <c r="B10" i="31"/>
  <c r="B11" i="31"/>
  <c r="B12" i="31"/>
  <c r="B13" i="31"/>
  <c r="B14" i="31"/>
  <c r="B15" i="31"/>
  <c r="B16" i="31"/>
  <c r="I17" i="72"/>
  <c r="C17" i="20"/>
  <c r="D17" i="20"/>
  <c r="E17" i="20"/>
  <c r="I17" i="74"/>
  <c r="N2" i="74"/>
  <c r="C18" i="20"/>
  <c r="D18" i="20"/>
  <c r="E18" i="20"/>
  <c r="I17" i="76"/>
  <c r="N2" i="76"/>
  <c r="C19" i="20"/>
  <c r="E19" i="20" s="1"/>
  <c r="D19" i="20"/>
  <c r="C20" i="20"/>
  <c r="D20" i="20"/>
  <c r="E20" i="20"/>
  <c r="C16" i="20"/>
  <c r="D16" i="20"/>
  <c r="E16" i="20"/>
  <c r="N2" i="21"/>
  <c r="C10" i="20"/>
  <c r="D10" i="20"/>
  <c r="E10" i="20"/>
  <c r="D11" i="20"/>
  <c r="C12" i="20"/>
  <c r="D12" i="20"/>
  <c r="E12" i="20"/>
  <c r="C13" i="20"/>
  <c r="E13" i="20" s="1"/>
  <c r="D13" i="20"/>
  <c r="I16" i="25"/>
  <c r="D14" i="20"/>
  <c r="D15" i="20"/>
  <c r="N13" i="72"/>
  <c r="N13" i="74"/>
  <c r="N13" i="78"/>
  <c r="I17" i="78"/>
  <c r="N13" i="76"/>
  <c r="F15" i="8"/>
  <c r="F18" i="8"/>
  <c r="F17" i="8"/>
  <c r="F16" i="8"/>
  <c r="C17" i="8"/>
  <c r="B20" i="20"/>
  <c r="B19" i="20"/>
  <c r="B18" i="20"/>
  <c r="B17" i="20"/>
  <c r="D55" i="20"/>
  <c r="J55" i="20" s="1"/>
  <c r="D56" i="20"/>
  <c r="J56" i="20"/>
  <c r="J57" i="20"/>
  <c r="I30" i="20"/>
  <c r="I31" i="20"/>
  <c r="I32" i="20"/>
  <c r="I33" i="20"/>
  <c r="I34" i="20"/>
  <c r="I35" i="20"/>
  <c r="I36" i="20"/>
  <c r="I37" i="20"/>
  <c r="I38" i="20"/>
  <c r="I39" i="20"/>
  <c r="I40" i="20"/>
  <c r="I41" i="20"/>
  <c r="I42" i="20"/>
  <c r="I43" i="20"/>
  <c r="I44" i="20"/>
  <c r="I45" i="20"/>
  <c r="I46" i="20"/>
  <c r="I47" i="20"/>
  <c r="I48" i="20"/>
  <c r="I49" i="20"/>
  <c r="I50" i="20"/>
  <c r="I51" i="20"/>
  <c r="I52" i="20"/>
  <c r="K7" i="8" s="1"/>
  <c r="I15" i="22"/>
  <c r="I21" i="22" s="1"/>
  <c r="I17" i="22"/>
  <c r="I15" i="25"/>
  <c r="I15" i="42"/>
  <c r="D24" i="20"/>
  <c r="N24" i="20" s="1"/>
  <c r="N27" i="20" s="1"/>
  <c r="J7" i="8" s="1"/>
  <c r="N25" i="20"/>
  <c r="N26" i="20"/>
  <c r="I19" i="78"/>
  <c r="I18" i="78"/>
  <c r="I16" i="78"/>
  <c r="E12" i="78"/>
  <c r="N12" i="78"/>
  <c r="N11" i="78"/>
  <c r="E11" i="78"/>
  <c r="B4" i="78"/>
  <c r="B3" i="78"/>
  <c r="I19" i="76"/>
  <c r="I18" i="76"/>
  <c r="I16" i="76"/>
  <c r="E12" i="76"/>
  <c r="N12" i="76"/>
  <c r="N11" i="76"/>
  <c r="E11" i="76"/>
  <c r="B4" i="76"/>
  <c r="B3" i="76"/>
  <c r="E12" i="72"/>
  <c r="N12" i="72"/>
  <c r="N12" i="74"/>
  <c r="E12" i="74"/>
  <c r="I19" i="74"/>
  <c r="I18" i="74"/>
  <c r="I16" i="74"/>
  <c r="N11" i="74"/>
  <c r="E11" i="74"/>
  <c r="B4" i="74"/>
  <c r="B3" i="74"/>
  <c r="I16" i="72"/>
  <c r="I19" i="72"/>
  <c r="I18" i="72"/>
  <c r="J11" i="72"/>
  <c r="N11" i="72"/>
  <c r="E11" i="72"/>
  <c r="B4" i="72"/>
  <c r="B3" i="72"/>
  <c r="F7" i="8"/>
  <c r="E16" i="8" s="1"/>
  <c r="E15" i="8"/>
  <c r="E18" i="8"/>
  <c r="C18" i="8"/>
  <c r="C16" i="8"/>
  <c r="C15" i="8"/>
  <c r="J11" i="26"/>
  <c r="N11" i="26"/>
  <c r="I15" i="26"/>
  <c r="I16" i="42"/>
  <c r="J11" i="42"/>
  <c r="E11" i="42" s="1"/>
  <c r="N11" i="42" s="1"/>
  <c r="N12" i="42" s="1"/>
  <c r="J13" i="8" s="1"/>
  <c r="J11" i="25"/>
  <c r="E11" i="25" s="1"/>
  <c r="N11" i="25" s="1"/>
  <c r="N12" i="25" s="1"/>
  <c r="F15" i="24"/>
  <c r="E11" i="24"/>
  <c r="N11" i="24"/>
  <c r="I20" i="22"/>
  <c r="I19" i="22"/>
  <c r="I18" i="22"/>
  <c r="I16" i="22"/>
  <c r="E11" i="22"/>
  <c r="N11" i="22"/>
  <c r="J11" i="22"/>
  <c r="I24" i="21"/>
  <c r="I26" i="21"/>
  <c r="I16" i="21"/>
  <c r="I17" i="21"/>
  <c r="I18" i="21"/>
  <c r="I19" i="21"/>
  <c r="I20" i="21"/>
  <c r="I21" i="21"/>
  <c r="I22" i="21"/>
  <c r="I23" i="21"/>
  <c r="I25" i="21"/>
  <c r="N11" i="21"/>
  <c r="D11" i="21"/>
  <c r="J11" i="21"/>
  <c r="F61" i="20"/>
  <c r="I61" i="20" s="1"/>
  <c r="I62" i="20" s="1"/>
  <c r="M7" i="8" s="1"/>
  <c r="N5" i="65"/>
  <c r="B3" i="65"/>
  <c r="I15" i="64"/>
  <c r="I16" i="64"/>
  <c r="I17" i="64" s="1"/>
  <c r="K48" i="8" s="1"/>
  <c r="J11" i="64"/>
  <c r="E11" i="64" s="1"/>
  <c r="N11" i="64" s="1"/>
  <c r="N12" i="64" s="1"/>
  <c r="B3" i="64"/>
  <c r="N5" i="63"/>
  <c r="B3" i="63"/>
  <c r="N5" i="62"/>
  <c r="B3" i="62"/>
  <c r="R13" i="61"/>
  <c r="R14" i="61"/>
  <c r="B3" i="61"/>
  <c r="N5" i="60"/>
  <c r="B3" i="60"/>
  <c r="J11" i="51"/>
  <c r="E11" i="51"/>
  <c r="N11" i="51" s="1"/>
  <c r="N12" i="51" s="1"/>
  <c r="D55" i="46"/>
  <c r="J55" i="46" s="1"/>
  <c r="D56" i="46"/>
  <c r="J56" i="46"/>
  <c r="J57" i="46"/>
  <c r="I16" i="52"/>
  <c r="F15" i="50"/>
  <c r="I15" i="50"/>
  <c r="I16" i="50"/>
  <c r="I21" i="48"/>
  <c r="N2" i="48" s="1"/>
  <c r="C11" i="46" s="1"/>
  <c r="E11" i="46" s="1"/>
  <c r="N12" i="52"/>
  <c r="E11" i="50"/>
  <c r="D11" i="50"/>
  <c r="N11" i="50"/>
  <c r="N12" i="50"/>
  <c r="N12" i="48"/>
  <c r="N12" i="47"/>
  <c r="D14" i="46"/>
  <c r="N2" i="47"/>
  <c r="C10" i="46"/>
  <c r="D10" i="46"/>
  <c r="E10" i="46"/>
  <c r="D11" i="46"/>
  <c r="D12" i="46"/>
  <c r="C12" i="46"/>
  <c r="E12" i="46"/>
  <c r="D13" i="46"/>
  <c r="N2" i="50"/>
  <c r="C13" i="46"/>
  <c r="E13" i="46"/>
  <c r="D16" i="46"/>
  <c r="N2" i="52"/>
  <c r="C16" i="46"/>
  <c r="E16" i="46"/>
  <c r="F37" i="8"/>
  <c r="F36" i="8"/>
  <c r="F35" i="8"/>
  <c r="F34" i="8"/>
  <c r="F33" i="8"/>
  <c r="F32" i="8"/>
  <c r="C38" i="8"/>
  <c r="C37" i="8"/>
  <c r="C36" i="8"/>
  <c r="C35" i="8"/>
  <c r="C34" i="8"/>
  <c r="C33" i="8"/>
  <c r="C32" i="8"/>
  <c r="C31" i="8"/>
  <c r="C26" i="8"/>
  <c r="I15" i="24"/>
  <c r="J11" i="23"/>
  <c r="F15" i="23"/>
  <c r="I15" i="23"/>
  <c r="F15" i="35"/>
  <c r="I15" i="35"/>
  <c r="F15" i="34"/>
  <c r="I15" i="34"/>
  <c r="F15" i="49"/>
  <c r="I15" i="49"/>
  <c r="E11" i="49"/>
  <c r="D11" i="49"/>
  <c r="N11" i="49"/>
  <c r="J11" i="50"/>
  <c r="J11" i="49"/>
  <c r="D15" i="46"/>
  <c r="B15" i="46"/>
  <c r="B1" i="55"/>
  <c r="B1" i="53"/>
  <c r="B1" i="54"/>
  <c r="B1" i="56"/>
  <c r="N5" i="52"/>
  <c r="B3" i="52"/>
  <c r="I15" i="51"/>
  <c r="I17" i="51" s="1"/>
  <c r="K36" i="8" s="1"/>
  <c r="I16" i="51"/>
  <c r="B3" i="51"/>
  <c r="N5" i="50"/>
  <c r="B3" i="50"/>
  <c r="I16" i="49"/>
  <c r="N12" i="49"/>
  <c r="N2" i="49"/>
  <c r="N5" i="49"/>
  <c r="B3" i="49"/>
  <c r="R13" i="48"/>
  <c r="B3" i="48"/>
  <c r="N5" i="47"/>
  <c r="B3" i="47"/>
  <c r="B16" i="46"/>
  <c r="B14" i="46"/>
  <c r="B13" i="46"/>
  <c r="B12" i="46"/>
  <c r="B11" i="46"/>
  <c r="B10" i="46"/>
  <c r="C25" i="8"/>
  <c r="F25" i="8"/>
  <c r="B1" i="45"/>
  <c r="B1" i="41"/>
  <c r="B3" i="44"/>
  <c r="C13" i="8"/>
  <c r="F13" i="8"/>
  <c r="B1" i="30"/>
  <c r="B1" i="43"/>
  <c r="N12" i="22"/>
  <c r="I16" i="23"/>
  <c r="E11" i="23"/>
  <c r="D11" i="23"/>
  <c r="N11" i="23"/>
  <c r="N12" i="23"/>
  <c r="N2" i="23"/>
  <c r="I16" i="24"/>
  <c r="N12" i="24"/>
  <c r="N2" i="24"/>
  <c r="I16" i="26"/>
  <c r="N12" i="26"/>
  <c r="N2" i="26"/>
  <c r="N12" i="21"/>
  <c r="I15" i="21"/>
  <c r="B4" i="42"/>
  <c r="B3" i="42"/>
  <c r="C14" i="8"/>
  <c r="E22" i="8"/>
  <c r="E23" i="8"/>
  <c r="E20" i="8"/>
  <c r="D11" i="35"/>
  <c r="N11" i="35"/>
  <c r="D11" i="34"/>
  <c r="N11" i="34"/>
  <c r="J11" i="35"/>
  <c r="E11" i="35"/>
  <c r="J11" i="34"/>
  <c r="E11" i="34"/>
  <c r="J11" i="24"/>
  <c r="K11" i="35"/>
  <c r="F26" i="8"/>
  <c r="F24" i="8"/>
  <c r="F23" i="8"/>
  <c r="F22" i="8"/>
  <c r="F20" i="8"/>
  <c r="F21" i="8"/>
  <c r="I16" i="35"/>
  <c r="I16" i="34"/>
  <c r="N12" i="35"/>
  <c r="N12" i="34"/>
  <c r="N11" i="32"/>
  <c r="N12" i="32"/>
  <c r="C24" i="8"/>
  <c r="C23" i="8"/>
  <c r="C22" i="8"/>
  <c r="C21" i="8"/>
  <c r="C20" i="8"/>
  <c r="C19" i="8"/>
  <c r="B1" i="38"/>
  <c r="N5" i="37"/>
  <c r="B3" i="37"/>
  <c r="B3" i="36"/>
  <c r="N2" i="35"/>
  <c r="N5" i="35"/>
  <c r="B3" i="35"/>
  <c r="N2" i="34"/>
  <c r="N5" i="34"/>
  <c r="B3" i="34"/>
  <c r="B3" i="33"/>
  <c r="N5" i="32"/>
  <c r="B3" i="32"/>
  <c r="F14" i="8"/>
  <c r="F12" i="8"/>
  <c r="F11" i="8"/>
  <c r="F10" i="8"/>
  <c r="F9" i="8"/>
  <c r="F8" i="8"/>
  <c r="E10" i="8"/>
  <c r="E11" i="8"/>
  <c r="E8" i="8"/>
  <c r="C12" i="8"/>
  <c r="C11" i="8"/>
  <c r="C10" i="8"/>
  <c r="C9" i="8"/>
  <c r="C8" i="8"/>
  <c r="C7" i="8"/>
  <c r="B1" i="27"/>
  <c r="L58" i="30"/>
  <c r="B4" i="26"/>
  <c r="B3" i="26"/>
  <c r="B4" i="25"/>
  <c r="B3" i="25"/>
  <c r="B4" i="24"/>
  <c r="B3" i="24"/>
  <c r="B4" i="23"/>
  <c r="B3" i="23"/>
  <c r="D11" i="22"/>
  <c r="B4" i="22"/>
  <c r="B3" i="22"/>
  <c r="B4" i="21"/>
  <c r="B3" i="21"/>
  <c r="B16" i="20"/>
  <c r="B14" i="20"/>
  <c r="B13" i="20"/>
  <c r="B12" i="20"/>
  <c r="B11" i="20"/>
  <c r="B10" i="20"/>
  <c r="N5" i="21"/>
  <c r="N5" i="24"/>
  <c r="N5" i="26"/>
  <c r="N5" i="23"/>
  <c r="O1" i="8"/>
  <c r="J74" i="8" l="1"/>
  <c r="H74" i="8" s="1"/>
  <c r="N74" i="8" s="1"/>
  <c r="N2" i="136"/>
  <c r="E74" i="8"/>
  <c r="E11" i="135"/>
  <c r="E76" i="8"/>
  <c r="E80" i="8"/>
  <c r="J58" i="20"/>
  <c r="L7" i="8" s="1"/>
  <c r="H7" i="8" s="1"/>
  <c r="N7" i="8" s="1"/>
  <c r="E14" i="8"/>
  <c r="E9" i="8"/>
  <c r="E13" i="8"/>
  <c r="E17" i="8"/>
  <c r="E12" i="8"/>
  <c r="J58" i="31"/>
  <c r="L19" i="8" s="1"/>
  <c r="H19" i="8" s="1"/>
  <c r="N19" i="8" s="1"/>
  <c r="E26" i="8"/>
  <c r="E21" i="8"/>
  <c r="E25" i="8"/>
  <c r="E29" i="8"/>
  <c r="E24" i="8"/>
  <c r="J58" i="46"/>
  <c r="L31" i="8" s="1"/>
  <c r="H31" i="8" s="1"/>
  <c r="N31" i="8" s="1"/>
  <c r="J58" i="59"/>
  <c r="L43" i="8" s="1"/>
  <c r="H43" i="8" s="1"/>
  <c r="N43" i="8" s="1"/>
  <c r="E12" i="146"/>
  <c r="E14" i="146" s="1"/>
  <c r="I30" i="146"/>
  <c r="K79" i="8" s="1"/>
  <c r="H79" i="8" s="1"/>
  <c r="N79" i="8" s="1"/>
  <c r="E82" i="8"/>
  <c r="E14" i="135"/>
  <c r="E12" i="135"/>
  <c r="E13" i="135"/>
  <c r="I30" i="135"/>
  <c r="K73" i="8" s="1"/>
  <c r="L73" i="8"/>
  <c r="I19" i="129"/>
  <c r="K70" i="8" s="1"/>
  <c r="N2" i="157"/>
  <c r="N5" i="157" s="1"/>
  <c r="I21" i="61"/>
  <c r="N2" i="61" s="1"/>
  <c r="K45" i="8"/>
  <c r="H45" i="8" s="1"/>
  <c r="N45" i="8" s="1"/>
  <c r="N5" i="48"/>
  <c r="I21" i="33"/>
  <c r="N2" i="33" s="1"/>
  <c r="K21" i="8"/>
  <c r="H21" i="8" s="1"/>
  <c r="N21" i="8" s="1"/>
  <c r="K9" i="8"/>
  <c r="H9" i="8" s="1"/>
  <c r="N9" i="8" s="1"/>
  <c r="N2" i="22"/>
  <c r="K91" i="8"/>
  <c r="H91" i="8" s="1"/>
  <c r="N91" i="8" s="1"/>
  <c r="N2" i="166"/>
  <c r="K87" i="8"/>
  <c r="H87" i="8" s="1"/>
  <c r="N87" i="8" s="1"/>
  <c r="N2" i="159"/>
  <c r="N2" i="161"/>
  <c r="K72" i="8"/>
  <c r="H72" i="8" s="1"/>
  <c r="N72" i="8" s="1"/>
  <c r="N2" i="133"/>
  <c r="N2" i="130"/>
  <c r="N5" i="130" s="1"/>
  <c r="K71" i="8"/>
  <c r="H71" i="8" s="1"/>
  <c r="N71" i="8" s="1"/>
  <c r="N2" i="64"/>
  <c r="J48" i="8"/>
  <c r="H48" i="8" s="1"/>
  <c r="N48" i="8" s="1"/>
  <c r="J36" i="8"/>
  <c r="H36" i="8" s="1"/>
  <c r="N36" i="8" s="1"/>
  <c r="N2" i="51"/>
  <c r="I17" i="36"/>
  <c r="K24" i="8" s="1"/>
  <c r="J24" i="8"/>
  <c r="I17" i="25"/>
  <c r="K12" i="8" s="1"/>
  <c r="J12" i="8"/>
  <c r="N2" i="25"/>
  <c r="I17" i="70"/>
  <c r="K49" i="8" s="1"/>
  <c r="M92" i="8"/>
  <c r="J49" i="8"/>
  <c r="H49" i="8" s="1"/>
  <c r="N49" i="8" s="1"/>
  <c r="N2" i="70"/>
  <c r="I17" i="42"/>
  <c r="K13" i="8" s="1"/>
  <c r="H13" i="8" s="1"/>
  <c r="N13" i="8" s="1"/>
  <c r="H37" i="8"/>
  <c r="N37" i="8" s="1"/>
  <c r="C13" i="127"/>
  <c r="E13" i="127" s="1"/>
  <c r="N2" i="57"/>
  <c r="K25" i="8"/>
  <c r="H25" i="8" s="1"/>
  <c r="N25" i="8" s="1"/>
  <c r="N2" i="44"/>
  <c r="N2" i="42"/>
  <c r="J86" i="8"/>
  <c r="H86" i="8" s="1"/>
  <c r="N86" i="8" s="1"/>
  <c r="N2" i="129"/>
  <c r="C11" i="127" s="1"/>
  <c r="E11" i="127" s="1"/>
  <c r="J70" i="8"/>
  <c r="H70" i="8" s="1"/>
  <c r="N70" i="8" s="1"/>
  <c r="J92" i="8"/>
  <c r="E72" i="8"/>
  <c r="J46" i="155"/>
  <c r="L84" i="8" s="1"/>
  <c r="J41" i="163"/>
  <c r="L89" i="8" s="1"/>
  <c r="L92" i="8" s="1"/>
  <c r="I33" i="163"/>
  <c r="K89" i="8"/>
  <c r="H89" i="8" s="1"/>
  <c r="N89" i="8" s="1"/>
  <c r="I38" i="155"/>
  <c r="K84" i="8"/>
  <c r="H84" i="8"/>
  <c r="N84" i="8" s="1"/>
  <c r="C10" i="135" l="1"/>
  <c r="E10" i="135" s="1"/>
  <c r="N5" i="136"/>
  <c r="N2" i="146"/>
  <c r="N5" i="146" s="1"/>
  <c r="E15" i="135"/>
  <c r="L2" i="135" s="1"/>
  <c r="L5" i="135" s="1"/>
  <c r="H73" i="8"/>
  <c r="N73" i="8" s="1"/>
  <c r="N5" i="129"/>
  <c r="C11" i="155"/>
  <c r="E11" i="155" s="1"/>
  <c r="E14" i="155" s="1"/>
  <c r="N2" i="155" s="1"/>
  <c r="N5" i="155" s="1"/>
  <c r="N5" i="61"/>
  <c r="C11" i="59"/>
  <c r="E11" i="59" s="1"/>
  <c r="N5" i="33"/>
  <c r="C11" i="31"/>
  <c r="E11" i="31" s="1"/>
  <c r="C11" i="20"/>
  <c r="E11" i="20" s="1"/>
  <c r="N5" i="22"/>
  <c r="K92" i="8"/>
  <c r="N5" i="166"/>
  <c r="C11" i="163"/>
  <c r="E11" i="163" s="1"/>
  <c r="E12" i="163" s="1"/>
  <c r="N2" i="163" s="1"/>
  <c r="N5" i="163" s="1"/>
  <c r="N5" i="161"/>
  <c r="C13" i="155"/>
  <c r="E13" i="155" s="1"/>
  <c r="N5" i="159"/>
  <c r="C12" i="155"/>
  <c r="E12" i="155" s="1"/>
  <c r="C12" i="127"/>
  <c r="E12" i="127" s="1"/>
  <c r="E14" i="127" s="1"/>
  <c r="N5" i="133"/>
  <c r="C14" i="59"/>
  <c r="E14" i="59" s="1"/>
  <c r="N5" i="64"/>
  <c r="C14" i="46"/>
  <c r="E14" i="46" s="1"/>
  <c r="N5" i="51"/>
  <c r="H24" i="8"/>
  <c r="N24" i="8" s="1"/>
  <c r="N2" i="36"/>
  <c r="C14" i="31" s="1"/>
  <c r="E14" i="31" s="1"/>
  <c r="H12" i="8"/>
  <c r="N12" i="8" s="1"/>
  <c r="C14" i="20"/>
  <c r="E14" i="20" s="1"/>
  <c r="N5" i="25"/>
  <c r="N5" i="70"/>
  <c r="C15" i="59"/>
  <c r="E15" i="59" s="1"/>
  <c r="C15" i="46"/>
  <c r="E15" i="46" s="1"/>
  <c r="N5" i="57"/>
  <c r="C15" i="31"/>
  <c r="E15" i="31" s="1"/>
  <c r="N5" i="44"/>
  <c r="C15" i="20"/>
  <c r="E15" i="20" s="1"/>
  <c r="N5" i="42"/>
  <c r="E21" i="46" l="1"/>
  <c r="N2" i="46" s="1"/>
  <c r="N5" i="46" s="1"/>
  <c r="E21" i="59"/>
  <c r="N2" i="59" s="1"/>
  <c r="N5" i="59" s="1"/>
  <c r="N92" i="8"/>
  <c r="N5" i="36"/>
  <c r="E21" i="31"/>
  <c r="N2" i="31" s="1"/>
  <c r="N5" i="31" s="1"/>
  <c r="E21" i="20"/>
  <c r="N2" i="20" s="1"/>
  <c r="N5" i="20" s="1"/>
</calcChain>
</file>

<file path=xl/sharedStrings.xml><?xml version="1.0" encoding="utf-8"?>
<sst xmlns="http://schemas.openxmlformats.org/spreadsheetml/2006/main" count="6784" uniqueCount="562">
  <si>
    <t>University</t>
  </si>
  <si>
    <t>Car #</t>
  </si>
  <si>
    <t>Asm Cost</t>
  </si>
  <si>
    <t>System</t>
  </si>
  <si>
    <t>Qty</t>
  </si>
  <si>
    <t>Assembly</t>
  </si>
  <si>
    <t>FileLink1</t>
  </si>
  <si>
    <t>P/N Base</t>
  </si>
  <si>
    <t>FileLink2</t>
  </si>
  <si>
    <t>Extended Cost</t>
  </si>
  <si>
    <t>Suffix</t>
  </si>
  <si>
    <t>AA</t>
  </si>
  <si>
    <t>FileLink3</t>
  </si>
  <si>
    <t>Details</t>
  </si>
  <si>
    <t>ItemOrder</t>
  </si>
  <si>
    <t>Part</t>
  </si>
  <si>
    <t>Part Cost</t>
  </si>
  <si>
    <t>Quantity</t>
  </si>
  <si>
    <t>Sub Total</t>
  </si>
  <si>
    <t>Material</t>
  </si>
  <si>
    <t>Use</t>
  </si>
  <si>
    <t>UnitCost</t>
  </si>
  <si>
    <t>Size1</t>
  </si>
  <si>
    <t>Unit1</t>
  </si>
  <si>
    <t>Size2</t>
  </si>
  <si>
    <t>Unit2</t>
  </si>
  <si>
    <t>Area Name</t>
  </si>
  <si>
    <t>Area</t>
  </si>
  <si>
    <t>Length</t>
  </si>
  <si>
    <t>Density</t>
  </si>
  <si>
    <t>mm</t>
  </si>
  <si>
    <t>Process</t>
  </si>
  <si>
    <t>Unit</t>
  </si>
  <si>
    <t>Multiplier</t>
  </si>
  <si>
    <t>Mult. Val.</t>
  </si>
  <si>
    <t>unit</t>
  </si>
  <si>
    <t>Fastener</t>
  </si>
  <si>
    <t>Ecole Centrale de Lyon</t>
  </si>
  <si>
    <t>Stock material for part</t>
  </si>
  <si>
    <t>Machining Setup, Install and remove</t>
  </si>
  <si>
    <t>cm</t>
  </si>
  <si>
    <t>Total Vehicle Cost</t>
  </si>
  <si>
    <t>Competition Code</t>
  </si>
  <si>
    <t>Year</t>
  </si>
  <si>
    <t>The cost of assemlies on this chart should not include the cost of the parts in the assembly but only the materials, processes, fasteners and tooling in the assembly level.</t>
  </si>
  <si>
    <t>Line Num.</t>
  </si>
  <si>
    <t>Area of Commodity</t>
  </si>
  <si>
    <t>Asm/Prt #</t>
  </si>
  <si>
    <t>Rev. Lvl.</t>
  </si>
  <si>
    <t>Asm</t>
  </si>
  <si>
    <t>Component</t>
  </si>
  <si>
    <t>Description</t>
  </si>
  <si>
    <t>Unit Cost</t>
  </si>
  <si>
    <t>Material Cost</t>
  </si>
  <si>
    <t>Process Cost</t>
  </si>
  <si>
    <t>Fastener Cost</t>
  </si>
  <si>
    <t>Tooling Cost</t>
  </si>
  <si>
    <t>Total Cost</t>
  </si>
  <si>
    <t>Details Page Number</t>
  </si>
  <si>
    <t>Area Total</t>
  </si>
  <si>
    <t>Drawing</t>
  </si>
  <si>
    <t>FSAEI</t>
  </si>
  <si>
    <t>Back to BOM</t>
  </si>
  <si>
    <t>Suspension &amp; Shocks</t>
  </si>
  <si>
    <t>SU A0100</t>
  </si>
  <si>
    <t>Sperical bearing</t>
  </si>
  <si>
    <t>Aluminum, Premium</t>
  </si>
  <si>
    <t>Upper face</t>
  </si>
  <si>
    <t>Setup for machining</t>
  </si>
  <si>
    <t>Outboard A-arm Insert</t>
  </si>
  <si>
    <t>Adhesive</t>
  </si>
  <si>
    <t>Glue for Ball Joint – Cost Included in Processes</t>
  </si>
  <si>
    <t>Epoxy resin for Tube/insert assembly – Cost Included in Processes</t>
  </si>
  <si>
    <t>Brush Apply</t>
  </si>
  <si>
    <t>cm²</t>
  </si>
  <si>
    <t>Assemble, 1kg, Line on line</t>
  </si>
  <si>
    <t>Hand Finish - Surface Preperation</t>
  </si>
  <si>
    <t>m²</t>
  </si>
  <si>
    <t>Ratchet &lt;= 25,4mm</t>
  </si>
  <si>
    <t>Reaction tool &lt;=25,4mm</t>
  </si>
  <si>
    <r>
      <t>Bo</t>
    </r>
    <r>
      <rPr>
        <sz val="11"/>
        <color rgb="FF000000"/>
        <rFont val="Calibri"/>
        <family val="2"/>
        <charset val="1"/>
      </rPr>
      <t>lt, Grade 8,8 (SAE 5)</t>
    </r>
  </si>
  <si>
    <t>A-Arm Fixing Bolts on Frame Side</t>
  </si>
  <si>
    <r>
      <t>Nut,</t>
    </r>
    <r>
      <rPr>
        <sz val="11"/>
        <color rgb="FF000000"/>
        <rFont val="Calibri"/>
        <family val="2"/>
        <charset val="1"/>
      </rPr>
      <t xml:space="preserve"> Grade 8,8 (SAE 5)</t>
    </r>
  </si>
  <si>
    <t>A-Arm Fixing Nuts</t>
  </si>
  <si>
    <r>
      <t>Washe</t>
    </r>
    <r>
      <rPr>
        <sz val="11"/>
        <color rgb="FF000000"/>
        <rFont val="Calibri"/>
        <family val="2"/>
        <charset val="1"/>
      </rPr>
      <t>r, Grade 8,8 (SAE 5)</t>
    </r>
  </si>
  <si>
    <t>A-Arm Fixing Washers</t>
  </si>
  <si>
    <t>Upper Front A-arm tube (Back)  Carbon Fiber Tube</t>
  </si>
  <si>
    <t>Upper Front A-arm tube (Front)  Carbon Fiber Tube</t>
  </si>
  <si>
    <t>Upper Front A-arm</t>
  </si>
  <si>
    <t>Upper Front Bearing Support</t>
  </si>
  <si>
    <t>Inner Bearing Support</t>
  </si>
  <si>
    <t>Machining Setup, Change</t>
  </si>
  <si>
    <t>Machining</t>
  </si>
  <si>
    <t>cm^3</t>
  </si>
  <si>
    <t>Kg</t>
  </si>
  <si>
    <t>Cylinder face area</t>
  </si>
  <si>
    <t>tube face</t>
  </si>
  <si>
    <t>Cylinder face</t>
  </si>
  <si>
    <t>Mild Steel</t>
  </si>
  <si>
    <t xml:space="preserve">Drawing part : </t>
  </si>
  <si>
    <t>SU_01002</t>
  </si>
  <si>
    <t>SU_01005</t>
  </si>
  <si>
    <t>SU_01001</t>
  </si>
  <si>
    <t>SU_01004</t>
  </si>
  <si>
    <t>SU_01003</t>
  </si>
  <si>
    <t>Lower Front A-arm</t>
  </si>
  <si>
    <t>SU A0200</t>
  </si>
  <si>
    <t>Lower Front Bearing Support</t>
  </si>
  <si>
    <t>SU_02002</t>
  </si>
  <si>
    <t>Lower Front A-arm tube (Front)  Carbon Fiber Tube</t>
  </si>
  <si>
    <t>SU_02003</t>
  </si>
  <si>
    <t>Lower Front A-arm tube (Back)  Carbon Fiber Tube</t>
  </si>
  <si>
    <t>SU_02004</t>
  </si>
  <si>
    <t>SU_02005</t>
  </si>
  <si>
    <t>SU_02006</t>
  </si>
  <si>
    <t>SU 02001</t>
  </si>
  <si>
    <t>SU 02002</t>
  </si>
  <si>
    <t>Carbon Fiber, 1 Ply</t>
  </si>
  <si>
    <t>Stock</t>
  </si>
  <si>
    <t>m^3</t>
  </si>
  <si>
    <t>SU_01007</t>
  </si>
  <si>
    <t>Spacer 2</t>
  </si>
  <si>
    <t>Spacer 1</t>
  </si>
  <si>
    <t>SU_01006</t>
  </si>
  <si>
    <t>Drawing part :</t>
  </si>
  <si>
    <t>SU_02007</t>
  </si>
  <si>
    <t>Upper Back A-arm</t>
  </si>
  <si>
    <t>SU A0300</t>
  </si>
  <si>
    <t>Upper Back Bearing Support</t>
  </si>
  <si>
    <t>Upper Back A-arm tube (Front)  Carbon Fiber Tube</t>
  </si>
  <si>
    <t>Upper Back A-arm tube (Back)  Carbon Fiber Tube</t>
  </si>
  <si>
    <t>SU 03002</t>
  </si>
  <si>
    <t>SU 03001</t>
  </si>
  <si>
    <t>SU 03003</t>
  </si>
  <si>
    <t>SU 03007</t>
  </si>
  <si>
    <t>SU 03006</t>
  </si>
  <si>
    <t>SU 03005</t>
  </si>
  <si>
    <t>SU 03004</t>
  </si>
  <si>
    <t>=SU_03006</t>
  </si>
  <si>
    <t>Lamination, Fillament Wirring</t>
  </si>
  <si>
    <t>Tube Lamination</t>
  </si>
  <si>
    <t>kg</t>
  </si>
  <si>
    <t>Lower Back A-arm</t>
  </si>
  <si>
    <t>SU A0400</t>
  </si>
  <si>
    <t>Lower Back Bearing Support</t>
  </si>
  <si>
    <t>SU_04001</t>
  </si>
  <si>
    <t>SU_04002</t>
  </si>
  <si>
    <t>Lower Back A-arm tube (Front)  Carbon Fiber Tube</t>
  </si>
  <si>
    <t>SU_04003</t>
  </si>
  <si>
    <t>Lower Back A-arm tube (Back)  Carbon Fiber Tube</t>
  </si>
  <si>
    <t>SU_04004</t>
  </si>
  <si>
    <t>SU_04005</t>
  </si>
  <si>
    <t>SU_04006</t>
  </si>
  <si>
    <t>Repeat 2</t>
  </si>
  <si>
    <t>Assemble, 1kg, loose</t>
  </si>
  <si>
    <t>Solvent degreasing  on carbon tube</t>
  </si>
  <si>
    <t>Solvent degreasing  on bearing bores</t>
  </si>
  <si>
    <t>Repeat 3</t>
  </si>
  <si>
    <t>Glue applying on bearing bores</t>
  </si>
  <si>
    <t>Bearing in Insert Bores</t>
  </si>
  <si>
    <t>Weld</t>
  </si>
  <si>
    <t>Steel mounts welding</t>
  </si>
  <si>
    <t>Aerosol Apply</t>
  </si>
  <si>
    <t>Steel mounts painting</t>
  </si>
  <si>
    <t>A-Arm Positionning</t>
  </si>
  <si>
    <t>Spacers installation</t>
  </si>
  <si>
    <t>Washers installation</t>
  </si>
  <si>
    <t>M8 bolts installation</t>
  </si>
  <si>
    <t>M8 nut blocking</t>
  </si>
  <si>
    <t>Solvent degreasing  on Upper Front Bearing Support</t>
  </si>
  <si>
    <t>Glue applying on on Upper Front Bearing Support</t>
  </si>
  <si>
    <t>Solvent degreasing  on Outboard A-arm Insert</t>
  </si>
  <si>
    <t>Solvent degreasing  on Outboard A-arm insert</t>
  </si>
  <si>
    <t>Glue applying on Outboard A-arm Inserts</t>
  </si>
  <si>
    <t>Outboard A-arm Insert in Upper front bearing support</t>
  </si>
  <si>
    <t>Solvent degreasing  on Inner Bearing support</t>
  </si>
  <si>
    <t xml:space="preserve">Glue applying on Inner Bearing support </t>
  </si>
  <si>
    <t>Inner Bearing support in Carbon Tube</t>
  </si>
  <si>
    <t>Outboard A-arm Insert in Carbon Tube with Inner Bearing support</t>
  </si>
  <si>
    <t>Tooling</t>
  </si>
  <si>
    <t>PVF</t>
  </si>
  <si>
    <t>FractionIncluded</t>
  </si>
  <si>
    <t>Welds - Welding Fixture</t>
  </si>
  <si>
    <t>Welding processes</t>
  </si>
  <si>
    <t>point</t>
  </si>
  <si>
    <t>Main shape
contouring and top of the main hole machining</t>
  </si>
  <si>
    <t>First tube hole machining</t>
  </si>
  <si>
    <t>Second tube hole machining</t>
  </si>
  <si>
    <t>Angle and bottom of the main hole machining</t>
  </si>
  <si>
    <t>Suspension rod support machining</t>
  </si>
  <si>
    <t>Drilled holes &lt; 25.4 mm</t>
  </si>
  <si>
    <t>Suspension rod support drilling</t>
  </si>
  <si>
    <t>Main shape
machining</t>
  </si>
  <si>
    <t>Material - Aluminium</t>
  </si>
  <si>
    <t>Sides machining</t>
  </si>
  <si>
    <t>Hole machining</t>
  </si>
  <si>
    <t>Material removal</t>
  </si>
  <si>
    <t>Material -Steel</t>
  </si>
  <si>
    <t>hole</t>
  </si>
  <si>
    <t>Saw or tubing cut</t>
  </si>
  <si>
    <t>Aluminium, Premium (per kg)</t>
  </si>
  <si>
    <t>cylinder</t>
  </si>
  <si>
    <t>m^2</t>
  </si>
  <si>
    <t>This part is Welded on the frame</t>
  </si>
  <si>
    <t>Steel, Mild (per kg)</t>
  </si>
  <si>
    <t>Stock for the part</t>
  </si>
  <si>
    <t>Rectangular area</t>
  </si>
  <si>
    <t xml:space="preserve">Paint </t>
  </si>
  <si>
    <t>Installation of the item 10 for laser cut</t>
  </si>
  <si>
    <t>Laser Cut</t>
  </si>
  <si>
    <t>To apply red paint</t>
  </si>
  <si>
    <t>SU_01008</t>
  </si>
  <si>
    <t>SU_01009</t>
  </si>
  <si>
    <t>SU_01010</t>
  </si>
  <si>
    <t>SU_01011</t>
  </si>
  <si>
    <t>Front up bracket</t>
  </si>
  <si>
    <t>Front down bracket</t>
  </si>
  <si>
    <t>Rear up bracket</t>
  </si>
  <si>
    <t>Rear down bracket</t>
  </si>
  <si>
    <t>Tubing cavity</t>
  </si>
  <si>
    <t>2 parts made from a single setup</t>
  </si>
  <si>
    <t>2 parts from a single setup</t>
  </si>
  <si>
    <t>Bolt, Grade 8,8 (SAE 5)</t>
  </si>
  <si>
    <t>Nut, Grade 8,8 (SAE 5)</t>
  </si>
  <si>
    <t>Washer, Grade 8,8 (SAE 5)</t>
  </si>
  <si>
    <t>Insert</t>
  </si>
  <si>
    <t>Bottom side and hole machining</t>
  </si>
  <si>
    <t>Rectangular area 64x36mm</t>
  </si>
  <si>
    <t>Main shape contouring and top side machining</t>
  </si>
  <si>
    <t>SU_02008</t>
  </si>
  <si>
    <t>Drawing :</t>
  </si>
  <si>
    <t>SU_02009</t>
  </si>
  <si>
    <t>SU_02010</t>
  </si>
  <si>
    <t>Rear Up bracket</t>
  </si>
  <si>
    <t>SU_02011</t>
  </si>
  <si>
    <t>Rectangular area 48x24 mm</t>
  </si>
  <si>
    <t>Rectangular area 68x22mm</t>
  </si>
  <si>
    <t>Rectangular area 40x22mm</t>
  </si>
  <si>
    <t>Installation item 10 for laser cut</t>
  </si>
  <si>
    <t>SU_03008</t>
  </si>
  <si>
    <t>SU_03009</t>
  </si>
  <si>
    <t>SU_03010</t>
  </si>
  <si>
    <t>SU_03011</t>
  </si>
  <si>
    <t>Main shape contouring and top of the main hole machining</t>
  </si>
  <si>
    <t>SU 04001</t>
  </si>
  <si>
    <t>Rectangular area 65x42mm</t>
  </si>
  <si>
    <t xml:space="preserve"> Aluminium</t>
  </si>
  <si>
    <t>Aluminium</t>
  </si>
  <si>
    <t>SU_04007</t>
  </si>
  <si>
    <t>SU_04008</t>
  </si>
  <si>
    <t>Rectangular area 83x22 mm</t>
  </si>
  <si>
    <t>Rectangular area 80x22 mm</t>
  </si>
  <si>
    <t>Rectangular area 31x22mm</t>
  </si>
  <si>
    <t>Rectangular area 55x22 mm</t>
  </si>
  <si>
    <t>SU 03011</t>
  </si>
  <si>
    <t>SU 03008</t>
  </si>
  <si>
    <t>SU 03009</t>
  </si>
  <si>
    <t>SU 03010</t>
  </si>
  <si>
    <t>SU 04008</t>
  </si>
  <si>
    <t>Rectangular area 50x22mm</t>
  </si>
  <si>
    <t>SU 04009</t>
  </si>
  <si>
    <t>Rectangular area 51x22mm</t>
  </si>
  <si>
    <t>Rectangular area 72x38mm</t>
  </si>
  <si>
    <t>Rectangular area 72x46mm</t>
  </si>
  <si>
    <t>SU_04009</t>
  </si>
  <si>
    <t>SU 04011</t>
  </si>
  <si>
    <t>SU 04010</t>
  </si>
  <si>
    <t>SU_04010</t>
  </si>
  <si>
    <t>SU_04011</t>
  </si>
  <si>
    <t>Front suspension</t>
  </si>
  <si>
    <t>SU A0500</t>
  </si>
  <si>
    <t>Front suspension, right and left are symetric</t>
  </si>
  <si>
    <t>Shock Front Bracket</t>
  </si>
  <si>
    <t>Damper Öhlins TTX25 MkII</t>
  </si>
  <si>
    <t>Spring</t>
  </si>
  <si>
    <t>Bushing, Student Built</t>
  </si>
  <si>
    <t>Paint</t>
  </si>
  <si>
    <t>Shock Front Bracket red paint</t>
  </si>
  <si>
    <t>Weld - Round Tubing</t>
  </si>
  <si>
    <t>Weldind shock front bracket with the frame</t>
  </si>
  <si>
    <t>Aerosol apply</t>
  </si>
  <si>
    <t>Painting the suspension mount</t>
  </si>
  <si>
    <t>Assemble, 1 kg, Loose</t>
  </si>
  <si>
    <t xml:space="preserve">Insert the spring in the damper </t>
  </si>
  <si>
    <t>Wrench &gt; 25.4 mm</t>
  </si>
  <si>
    <t>Wrench the spring in the damper</t>
  </si>
  <si>
    <t>Assemble, 1kg, Loose</t>
  </si>
  <si>
    <t>Insert the bushings in the damper extremity</t>
  </si>
  <si>
    <t>Put the damper in place</t>
  </si>
  <si>
    <t>Hand - Start Only</t>
  </si>
  <si>
    <t>Bolt damper to shock front bracket</t>
  </si>
  <si>
    <t>Put the nuts into the bolts</t>
  </si>
  <si>
    <t>Ratchet &lt;= 25.4 mm</t>
  </si>
  <si>
    <t>Thighten the M8 nuts</t>
  </si>
  <si>
    <t>Reaction tool &lt;= 25.4 mm</t>
  </si>
  <si>
    <t>Bolt,Grade 8.8 (SAE)</t>
  </si>
  <si>
    <t>Bolt Damper Öhlins TTX25 MkII on Shock Front Bracket</t>
  </si>
  <si>
    <t>Washer, Grade 8.8 (SAE 5)</t>
  </si>
  <si>
    <t>Nut, Grade 8.8 (SAE 5)</t>
  </si>
  <si>
    <t>Welding of the mounts</t>
  </si>
  <si>
    <t>Suspension bracket</t>
  </si>
  <si>
    <t>Steel, Mild</t>
  </si>
  <si>
    <t>Raw material</t>
  </si>
  <si>
    <t>circle area pi*0,0155²</t>
  </si>
  <si>
    <t>Material Removal</t>
  </si>
  <si>
    <t>Material-Steel</t>
  </si>
  <si>
    <t>Machining Setup, change</t>
  </si>
  <si>
    <t>Drilled holes &lt; 25.4 mm dia.</t>
  </si>
  <si>
    <t>SU 05001</t>
  </si>
  <si>
    <t>SU_05001</t>
  </si>
  <si>
    <t>Front Bell Cranck</t>
  </si>
  <si>
    <t>Rocker bushing</t>
  </si>
  <si>
    <t>Rocker spacer</t>
  </si>
  <si>
    <t>Sheets of metal for rocker</t>
  </si>
  <si>
    <t>Front rocker mount</t>
  </si>
  <si>
    <t>Front Bell Crank</t>
  </si>
  <si>
    <t>SU A0600</t>
  </si>
  <si>
    <t>Front rocker, right and left are symetric</t>
  </si>
  <si>
    <t>Rocker mount red paint</t>
  </si>
  <si>
    <t>Rocker black paint</t>
  </si>
  <si>
    <t>Welding the rocker mount on the chassis</t>
  </si>
  <si>
    <t>Painting the rocker mount in red</t>
  </si>
  <si>
    <t>Painting the rocker in black</t>
  </si>
  <si>
    <t xml:space="preserve">Insert 2 busher into the rocker and the rocker spacer </t>
  </si>
  <si>
    <t>Put the previous assembly in place</t>
  </si>
  <si>
    <t>Put the washers of the rocker in place</t>
  </si>
  <si>
    <t>Bolt rocker into rocker mount</t>
  </si>
  <si>
    <t>Put the nuts into the bolt</t>
  </si>
  <si>
    <t>Bolt rocker on its mount</t>
  </si>
  <si>
    <t>Welding process for rocker mount</t>
  </si>
  <si>
    <t>SU 06001</t>
  </si>
  <si>
    <t>Plastic, Flouropolymers</t>
  </si>
  <si>
    <t>Stock material for bushings</t>
  </si>
  <si>
    <t>Round area, diameter 15 mm</t>
  </si>
  <si>
    <t>Machining (turning)</t>
  </si>
  <si>
    <t>Machining removal</t>
  </si>
  <si>
    <t>Material - Plastic</t>
  </si>
  <si>
    <t>SU 06002</t>
  </si>
  <si>
    <t>Round area, diameter 14 mm</t>
  </si>
  <si>
    <t>Material - Steel</t>
  </si>
  <si>
    <t>Sheet of metal for the rocker</t>
  </si>
  <si>
    <t>SU 06003</t>
  </si>
  <si>
    <t>Material for rocker</t>
  </si>
  <si>
    <t>Rectangular sheet 125*65 mm^2</t>
  </si>
  <si>
    <t>Machining setup, install and remove</t>
  </si>
  <si>
    <t>Insert and remove parts from laser</t>
  </si>
  <si>
    <t>4 parts made from a single machine setup</t>
  </si>
  <si>
    <t>Laser cut</t>
  </si>
  <si>
    <t>Cutting the sheets</t>
  </si>
  <si>
    <t>Drawing part:</t>
  </si>
  <si>
    <t>SU_06003</t>
  </si>
  <si>
    <t>SU 06004</t>
  </si>
  <si>
    <t>Rectangular sheet 50*26 mm^2</t>
  </si>
  <si>
    <t xml:space="preserve">Machining </t>
  </si>
  <si>
    <t>Rear suspension</t>
  </si>
  <si>
    <t>SU A0700</t>
  </si>
  <si>
    <t>Rear suspension, right and left are symetric</t>
  </si>
  <si>
    <t>Shock Rear Bracket</t>
  </si>
  <si>
    <t>Shock rear Bracket red paint</t>
  </si>
  <si>
    <t>Weldind shock rear bracket with the frame</t>
  </si>
  <si>
    <t>Painting the suspension bracket</t>
  </si>
  <si>
    <t>Bolt damper to shock rear bracket</t>
  </si>
  <si>
    <t>Bolt Damper Öhlins TTX25 MkII on Shock rear Bracket</t>
  </si>
  <si>
    <t>SU 07001</t>
  </si>
  <si>
    <t>Shock rear Bracket</t>
  </si>
  <si>
    <t>SU_07001</t>
  </si>
  <si>
    <t>Rear Bell Cranck</t>
  </si>
  <si>
    <t>Rear rocker mount</t>
  </si>
  <si>
    <t>Rear Bell Crank</t>
  </si>
  <si>
    <t>SU A0800</t>
  </si>
  <si>
    <t>Rear rocker, right and left are symetric</t>
  </si>
  <si>
    <t xml:space="preserve">Insert the busher into the rocker mount </t>
  </si>
  <si>
    <t>Put each part of the rocker in place</t>
  </si>
  <si>
    <t>SU 08001</t>
  </si>
  <si>
    <t>SU 08002</t>
  </si>
  <si>
    <t>Rectangular sheet 100*65 mm^2</t>
  </si>
  <si>
    <t>SU 08003</t>
  </si>
  <si>
    <t>Rectangular sheet 58*50 mm^2</t>
  </si>
  <si>
    <t>2 parts made from a single machine setup</t>
  </si>
  <si>
    <t>SU_08002</t>
  </si>
  <si>
    <t>To tighten the bolts</t>
  </si>
  <si>
    <t>To tighten the rod ends</t>
  </si>
  <si>
    <t>Pullrod to A-arm fixing bolt</t>
  </si>
  <si>
    <t>Pullrod to rocker fixing bolt</t>
  </si>
  <si>
    <t>Bolt pullrod into the A-Arm</t>
  </si>
  <si>
    <t>Put the washers of the A-arm in place</t>
  </si>
  <si>
    <t>Put the spacers of the A-arm in place</t>
  </si>
  <si>
    <t>Bolt pullrod into the rocker</t>
  </si>
  <si>
    <t>Put the spacers of the rocker in place</t>
  </si>
  <si>
    <t>Wrench &lt;= 25.4 mm</t>
  </si>
  <si>
    <t>Screwing by hand the rod end in the pullrod insert</t>
  </si>
  <si>
    <t>Hand, Loose &lt;= 25.4 mm</t>
  </si>
  <si>
    <t>Put a nut on the rod end</t>
  </si>
  <si>
    <t>cm^2</t>
  </si>
  <si>
    <t>Glue insert to pushrod tube</t>
  </si>
  <si>
    <t>Brush apply</t>
  </si>
  <si>
    <t>Solvent degreasing  on insert</t>
  </si>
  <si>
    <t>Balls Diameter</t>
  </si>
  <si>
    <t>Left-hand rod end for pushrod extremities</t>
  </si>
  <si>
    <t>Rod End, Industrial</t>
  </si>
  <si>
    <t>Right-hand rod end for pushrod extremities</t>
  </si>
  <si>
    <t>Pullrod insert</t>
  </si>
  <si>
    <t>Pullrod tube</t>
  </si>
  <si>
    <t>Front Pullrod</t>
  </si>
  <si>
    <t>Tube lamination</t>
  </si>
  <si>
    <t>Lamination, Filament Wirring</t>
  </si>
  <si>
    <t>Round area, diameter 16x2 mm</t>
  </si>
  <si>
    <t>Stock material</t>
  </si>
  <si>
    <t>Carbon fiber, 1 Ply</t>
  </si>
  <si>
    <t>Rod End emplacement</t>
  </si>
  <si>
    <t>Tapping Holes</t>
  </si>
  <si>
    <t>Setup for machining process</t>
  </si>
  <si>
    <t>Machining setup, change</t>
  </si>
  <si>
    <t>Material removal - side view profile</t>
  </si>
  <si>
    <t>Setup for machining and removal</t>
  </si>
  <si>
    <t>Cylindrical 16 mm diameter</t>
  </si>
  <si>
    <t>Material for Part</t>
  </si>
  <si>
    <t>SU A0900</t>
  </si>
  <si>
    <t>SU 09001</t>
  </si>
  <si>
    <t>Tie rod insert</t>
  </si>
  <si>
    <t>Tie rod tube</t>
  </si>
  <si>
    <t>Rear tie rod, right and left are symetric</t>
  </si>
  <si>
    <t>SU 09002</t>
  </si>
  <si>
    <t>SU 09003</t>
  </si>
  <si>
    <t>SU 09004</t>
  </si>
  <si>
    <t>Welding of the mount</t>
  </si>
  <si>
    <t>SU_09002</t>
  </si>
  <si>
    <t>SU_09003</t>
  </si>
  <si>
    <t>SU_09004</t>
  </si>
  <si>
    <t>Wheels &amp; Tires</t>
  </si>
  <si>
    <t>Front Uprights</t>
  </si>
  <si>
    <t>SU A1000</t>
  </si>
  <si>
    <t>Assembly of a part of the wheel with the uprights</t>
  </si>
  <si>
    <t>Upper Arm Wedge</t>
  </si>
  <si>
    <t>Upper Arm Bracket</t>
  </si>
  <si>
    <t>Speed Sensor Brakcet</t>
  </si>
  <si>
    <t>Camber adjustment shim</t>
  </si>
  <si>
    <t>Assemble, 3kg, Interference</t>
  </si>
  <si>
    <t>Assemble upright with hub</t>
  </si>
  <si>
    <t>Assemble, 1 kg, Line-on-Line</t>
  </si>
  <si>
    <t>Assemble Upper arm wedge with upright</t>
  </si>
  <si>
    <t>Assemble camber adjustment shim with upright</t>
  </si>
  <si>
    <t>Assemble Upper arm bracket with upright</t>
  </si>
  <si>
    <t>Bolt upper arm bracket, shim and Wedge with upright</t>
  </si>
  <si>
    <t>Reaction Tool &lt;= 25.4 mm</t>
  </si>
  <si>
    <t>Assemble speed sensor bracket with upright</t>
  </si>
  <si>
    <t xml:space="preserve">Unit </t>
  </si>
  <si>
    <t>Assemble, 5kg, Line-on-Line</t>
  </si>
  <si>
    <t>Assemble upright assembly with frame</t>
  </si>
  <si>
    <t>Bolt upright assembly with front A-arms</t>
  </si>
  <si>
    <t>Suspension Setup-Independent Susp. (per corner)</t>
  </si>
  <si>
    <t>Camber and toe adjustment</t>
  </si>
  <si>
    <t>Front Upright</t>
  </si>
  <si>
    <t>SU 10001</t>
  </si>
  <si>
    <t>Main part of the assembly</t>
  </si>
  <si>
    <t>Aluminium, Premium</t>
  </si>
  <si>
    <t>rectangular area, 165 x 275</t>
  </si>
  <si>
    <t>Machining Setup, Install and Remove</t>
  </si>
  <si>
    <t>Setup for milling</t>
  </si>
  <si>
    <t xml:space="preserve">Milling the main part </t>
  </si>
  <si>
    <t>Change the milling setup</t>
  </si>
  <si>
    <t>Milling, remove the major part of the sole</t>
  </si>
  <si>
    <t>Milling, ending the sole, finishing the second bearing seat</t>
  </si>
  <si>
    <t>Last holes</t>
  </si>
  <si>
    <t>Milling upper slopes</t>
  </si>
  <si>
    <t>Milling lower slopes</t>
  </si>
  <si>
    <t>Milling brake side slopes</t>
  </si>
  <si>
    <t>SU 10002</t>
  </si>
  <si>
    <t>Part between the Upper arm bracket and the upright</t>
  </si>
  <si>
    <t>Aluminium, Normal</t>
  </si>
  <si>
    <t>Rectangular area, 70x45mm</t>
  </si>
  <si>
    <t>Setup for turning</t>
  </si>
  <si>
    <t>Milling</t>
  </si>
  <si>
    <t>Change the turning setup</t>
  </si>
  <si>
    <t>SU 10003</t>
  </si>
  <si>
    <t>Bracket to link the upper arm to the upright</t>
  </si>
  <si>
    <t>Steel, Alloy</t>
  </si>
  <si>
    <t>Rectangle Area, 50x70 (mm)</t>
  </si>
  <si>
    <t>Milling the main part</t>
  </si>
  <si>
    <t>Milling to remove the sole</t>
  </si>
  <si>
    <t xml:space="preserve">Milling 3 holes </t>
  </si>
  <si>
    <t>Milling, chamfer and last hole</t>
  </si>
  <si>
    <t>Speed Sensor Bracket</t>
  </si>
  <si>
    <t>SU 10004</t>
  </si>
  <si>
    <t>Bracket to maintain the speed sensor at the good position relative to the speed sensor disc</t>
  </si>
  <si>
    <t>Square area 35x40mm</t>
  </si>
  <si>
    <t>one setup for 2 pieces</t>
  </si>
  <si>
    <t>Sheet metal bends</t>
  </si>
  <si>
    <t>bend</t>
  </si>
  <si>
    <t>SU 10005</t>
  </si>
  <si>
    <t>Part to modify the static camber of a wheel</t>
  </si>
  <si>
    <t>rectangular area, 80*45mm</t>
  </si>
  <si>
    <t>SU_10001</t>
  </si>
  <si>
    <t>SU_10002</t>
  </si>
  <si>
    <t>SU_10003</t>
  </si>
  <si>
    <t>SU_10004</t>
  </si>
  <si>
    <t>SU_10005</t>
  </si>
  <si>
    <t>Bolt upper arm bracket and shim with upright</t>
  </si>
  <si>
    <t>Bolt speed sensor bracket with upright</t>
  </si>
  <si>
    <t>Rear Upright</t>
  </si>
  <si>
    <t>SU 11001</t>
  </si>
  <si>
    <t>Milling the back and the first bearing seat</t>
  </si>
  <si>
    <t>Milling, the main phase</t>
  </si>
  <si>
    <t>Milling, removing the sole</t>
  </si>
  <si>
    <t>Milling, 2 holes for A-Arm and toe link</t>
  </si>
  <si>
    <t>Drill the hole for the speed sensor bracket</t>
  </si>
  <si>
    <t>Hole</t>
  </si>
  <si>
    <t>SU 11002</t>
  </si>
  <si>
    <t>SU 11003</t>
  </si>
  <si>
    <t>Square area 22x56mm</t>
  </si>
  <si>
    <t>SU 11004</t>
  </si>
  <si>
    <t>rectangular area, 84mm*48mm</t>
  </si>
  <si>
    <t>one setup for 30 pieces</t>
  </si>
  <si>
    <t>SU_11001</t>
  </si>
  <si>
    <t>SU_11002</t>
  </si>
  <si>
    <t>SU_11003</t>
  </si>
  <si>
    <t>SU_11004</t>
  </si>
  <si>
    <t>Rear Uprights</t>
  </si>
  <si>
    <t>SU A1100</t>
  </si>
  <si>
    <t>SU A1200</t>
  </si>
  <si>
    <t>Front Pullrod, right and left are symetric</t>
  </si>
  <si>
    <t>SU 12001</t>
  </si>
  <si>
    <t>SU 12002</t>
  </si>
  <si>
    <t>SU_12002</t>
  </si>
  <si>
    <t>SU 12003</t>
  </si>
  <si>
    <t>8 parts made from a single machine setup</t>
  </si>
  <si>
    <t>SU_12003</t>
  </si>
  <si>
    <t>SU 12004</t>
  </si>
  <si>
    <t>SU_12004</t>
  </si>
  <si>
    <t>Rear Pushrod</t>
  </si>
  <si>
    <t>SU A1300</t>
  </si>
  <si>
    <t>Rear Pushrod, right and left are symetric</t>
  </si>
  <si>
    <t>Screwing by hand the rod end in the steel cylinder</t>
  </si>
  <si>
    <t>Bolt pushrod into the rocker</t>
  </si>
  <si>
    <t>Bolt pushrod into the A-Arm</t>
  </si>
  <si>
    <t>Pushrod to rocker fixing bolt</t>
  </si>
  <si>
    <t>Pushrod to A-arm fixing bolt</t>
  </si>
  <si>
    <t>Steel cylinder for pushrod</t>
  </si>
  <si>
    <t>SU 13001</t>
  </si>
  <si>
    <t>Steel, alloy</t>
  </si>
  <si>
    <t>Material for part</t>
  </si>
  <si>
    <t>Round area, outside diameter 15 mm</t>
  </si>
  <si>
    <t>Tapping holes</t>
  </si>
  <si>
    <t>Drill &amp; Tap</t>
  </si>
  <si>
    <t>Spacer</t>
  </si>
  <si>
    <t>SU 13002</t>
  </si>
  <si>
    <t>SU_13002</t>
  </si>
  <si>
    <t xml:space="preserve">Rear Tie rod  </t>
  </si>
  <si>
    <t>Round area diam. 18mm</t>
  </si>
  <si>
    <t>Round area diam. 12mm</t>
  </si>
  <si>
    <t>Same as SU_0*_006 (*=1,…,4)</t>
  </si>
  <si>
    <t>Same as SU_0*_006 (*=1,…,4) and SU_09_003</t>
  </si>
  <si>
    <t>Steel</t>
  </si>
  <si>
    <t>16 parts from a single setup</t>
  </si>
  <si>
    <t>8 parts from a single machine setup (tierod insert)</t>
  </si>
  <si>
    <t>8 parts from a single machine setup (pushrod insert)</t>
  </si>
  <si>
    <t>Same setup for 2 parts</t>
  </si>
  <si>
    <t>Bolt, Grade 8.8 (SAE 5)</t>
  </si>
  <si>
    <t>Bolt Upper arm bracket, wedge, camber adjustment shim and upright</t>
  </si>
  <si>
    <t>Bolt Speed sensor bracket on upright</t>
  </si>
  <si>
    <t>Bolt upright assembly with rear A-arms</t>
  </si>
  <si>
    <t>rectangular area, 180 x 280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</si>
</sst>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5">
    <numFmt numFmtId="44" formatCode="_-* #,##0.00\ &quot;€&quot;_-;\-* #,##0.00\ &quot;€&quot;_-;_-* &quot;-&quot;??\ &quot;€&quot;_-;_-@_-"/>
    <numFmt numFmtId="43" formatCode="_-* #,##0.00\ _€_-;\-* #,##0.00\ _€_-;_-* &quot;-&quot;??\ _€_-;_-@_-"/>
    <numFmt numFmtId="164" formatCode="_(* #,##0.00_);_(* \(#,##0.00\);_(* \-??_);_(@_)"/>
    <numFmt numFmtId="165" formatCode="_(\$* #,##0.00_);_(\$* \(#,##0.00\);_(\$* \-??_);_(@_)"/>
    <numFmt numFmtId="166" formatCode="\$#,##0.00_);&quot;($&quot;#,##0.00\)"/>
    <numFmt numFmtId="167" formatCode="#,##0.0000"/>
    <numFmt numFmtId="168" formatCode="_(* #,##0.000_);_(* \(#,##0.000\);_(* \-??_);_(@_)"/>
    <numFmt numFmtId="169" formatCode="_(* #,##0_);_(* \(#,##0\);_(* \-??_);_(@_)"/>
    <numFmt numFmtId="170" formatCode="_(&quot;$&quot;* #,##0.00_);_(&quot;$&quot;* \(#,##0.00\);_(&quot;$&quot;* &quot;-&quot;??_);_(@_)"/>
    <numFmt numFmtId="171" formatCode="_(* #,##0.00_);_(* \(#,##0.00\);_(* &quot;-&quot;??_);_(@_)"/>
    <numFmt numFmtId="172" formatCode="_-[$$-409]* #,##0.00_ ;_-[$$-409]* \-#,##0.00\ ;_-[$$-409]* &quot;-&quot;??_ ;_-@_ "/>
    <numFmt numFmtId="173" formatCode="0.0000"/>
    <numFmt numFmtId="174" formatCode="&quot;$&quot;#,##0.00"/>
    <numFmt numFmtId="175" formatCode="0.0"/>
    <numFmt numFmtId="176" formatCode="_-* #,##0.0000\ _€_-;\-* #,##0.0000\ _€_-;_-* &quot;-&quot;????\ _€_-;_-@_-"/>
    <numFmt numFmtId="177" formatCode="0.000"/>
    <numFmt numFmtId="178" formatCode="_-* #,##0.000000\ _€_-;\-* #,##0.000000\ _€_-;_-* &quot;-&quot;????\ _€_-;_-@_-"/>
    <numFmt numFmtId="179" formatCode="_(* #,##0.0_);_(* \(#,##0.0\);_(* \-??_);_(@_)"/>
    <numFmt numFmtId="180" formatCode="_(* #,##0.000_);_(* \(#,##0.000\);_(* &quot;-&quot;??_);_(@_)"/>
    <numFmt numFmtId="181" formatCode="0E+00"/>
    <numFmt numFmtId="182" formatCode="_-* #,##0.000\ _€_-;\-* #,##0.000\ _€_-;_-* &quot;-&quot;????\ _€_-;_-@_-"/>
    <numFmt numFmtId="183" formatCode="_(&quot;$&quot;* #,##0.00_);_(&quot;$&quot;* \(#,##0.000\);_(&quot;$&quot;* &quot;-&quot;??_);_(@_)"/>
    <numFmt numFmtId="184" formatCode="_-[$$-C09]* #,##0.00_-;\-[$$-C09]* #,##0.00_-;_-[$$-C09]* &quot;-&quot;??_-;_-@_-"/>
    <numFmt numFmtId="185" formatCode="0.00.E+00"/>
    <numFmt numFmtId="186" formatCode="_-[$$-409]* #,##0.00_ ;_-[$$-409]* \-#,##0.00,;_-[$$-409]* \-??_ ;_-@_ "/>
    <numFmt numFmtId="187" formatCode="_-* #,##0.000\ _€_-;\-* #,##0.000\ _€_-;_-* &quot;-&quot;???\ _€_-;_-@_-"/>
    <numFmt numFmtId="188" formatCode="0.00000"/>
    <numFmt numFmtId="189" formatCode="_-* #,##0.00000\ _€_-;\-* #,##0.00000\ _€_-;_-* &quot;-&quot;?????\ _€_-;_-@_-"/>
    <numFmt numFmtId="190" formatCode="_-* #,##0.000_-;\-* #,##0.000_-;_-* &quot;-&quot;??_-;_-@_-"/>
    <numFmt numFmtId="191" formatCode="#,##0.000"/>
    <numFmt numFmtId="192" formatCode="_(\$* #,##0.00_);_(\$* \(#,##0.000\);_(\$* \-??_);_(@_)"/>
    <numFmt numFmtId="193" formatCode="_-* #,##0.00000000\ _€_-;\-* #,##0.00000000\ _€_-;_-* &quot;-&quot;????????\ _€_-;_-@_-"/>
    <numFmt numFmtId="194" formatCode="0.00000000"/>
    <numFmt numFmtId="195" formatCode="_(* #,##0_);_(* \(#,##0\);_(* &quot;-&quot;??_);_(@_)"/>
    <numFmt numFmtId="196" formatCode="_-* #,##0.0000\ _€_-;\-* #,##0.0000\ _€_-;_-* &quot;-&quot;????????\ _€_-;_-@_-"/>
  </numFmts>
  <fonts count="51" x14ac:knownFonts="1">
    <font>
      <sz val="11"/>
      <color rgb="FF000000"/>
      <name val="Calibri"/>
      <family val="2"/>
      <charset val="1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name val="Calibri"/>
      <family val="2"/>
      <charset val="1"/>
    </font>
    <font>
      <sz val="11"/>
      <name val="Calibri"/>
      <family val="2"/>
      <charset val="1"/>
    </font>
    <font>
      <sz val="11"/>
      <color rgb="FF000000"/>
      <name val="Calibri"/>
      <family val="2"/>
      <charset val="1"/>
    </font>
    <font>
      <sz val="11"/>
      <color rgb="FF006100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sz val="9"/>
      <name val="Arial"/>
      <family val="2"/>
    </font>
    <font>
      <b/>
      <sz val="9"/>
      <name val="Arial"/>
      <family val="2"/>
    </font>
    <font>
      <sz val="11"/>
      <name val="Arial"/>
      <family val="2"/>
    </font>
    <font>
      <b/>
      <sz val="11"/>
      <name val="Arial"/>
      <family val="2"/>
    </font>
    <font>
      <sz val="7"/>
      <name val="Arial"/>
      <family val="2"/>
    </font>
    <font>
      <b/>
      <i/>
      <sz val="10"/>
      <name val="Arial"/>
      <family val="2"/>
    </font>
    <font>
      <sz val="11"/>
      <color indexed="8"/>
      <name val="Calibri"/>
      <family val="2"/>
    </font>
    <font>
      <b/>
      <sz val="11"/>
      <color indexed="9"/>
      <name val="Calibri"/>
      <family val="2"/>
    </font>
    <font>
      <b/>
      <sz val="11"/>
      <color theme="0"/>
      <name val="Calibri"/>
      <family val="2"/>
    </font>
    <font>
      <u/>
      <sz val="11"/>
      <color theme="10"/>
      <name val="Calibri"/>
      <family val="2"/>
      <charset val="1"/>
    </font>
    <font>
      <sz val="11"/>
      <color rgb="FF9C6500"/>
      <name val="Calibri"/>
      <family val="2"/>
      <scheme val="minor"/>
    </font>
    <font>
      <sz val="10"/>
      <name val="MS Sans Serif"/>
    </font>
    <font>
      <sz val="11"/>
      <name val="Calibri"/>
      <family val="2"/>
    </font>
    <font>
      <sz val="11"/>
      <color indexed="17"/>
      <name val="Calibri"/>
      <family val="2"/>
    </font>
    <font>
      <sz val="10"/>
      <name val="MS Sans Serif"/>
      <family val="2"/>
    </font>
    <font>
      <sz val="10"/>
      <name val="Verdana"/>
      <family val="2"/>
    </font>
    <font>
      <sz val="11"/>
      <color rgb="FF000000"/>
      <name val="Calibri"/>
      <family val="2"/>
    </font>
    <font>
      <sz val="11"/>
      <name val="Calibri"/>
      <family val="2"/>
      <scheme val="minor"/>
    </font>
    <font>
      <sz val="10"/>
      <color indexed="8"/>
      <name val="Arial"/>
      <family val="2"/>
    </font>
    <font>
      <sz val="11"/>
      <color rgb="FF9C0006"/>
      <name val="Calibri"/>
      <family val="2"/>
      <scheme val="minor"/>
    </font>
    <font>
      <sz val="11"/>
      <color theme="1"/>
      <name val="Calibri"/>
      <family val="2"/>
      <charset val="1"/>
    </font>
    <font>
      <sz val="11"/>
      <color theme="1"/>
      <name val="Calibri"/>
      <family val="2"/>
    </font>
    <font>
      <b/>
      <sz val="11"/>
      <name val="Calibri"/>
      <family val="2"/>
      <scheme val="minor"/>
    </font>
    <font>
      <sz val="11"/>
      <color theme="1"/>
      <name val="Calibri"/>
      <family val="2"/>
      <charset val="1"/>
      <scheme val="minor"/>
    </font>
    <font>
      <b/>
      <sz val="11"/>
      <color theme="1"/>
      <name val="Calibri"/>
      <family val="2"/>
      <charset val="1"/>
      <scheme val="minor"/>
    </font>
    <font>
      <sz val="11"/>
      <color rgb="FF00000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charset val="1"/>
      <scheme val="minor"/>
    </font>
    <font>
      <b/>
      <sz val="11"/>
      <name val="Calibri"/>
      <family val="2"/>
      <charset val="1"/>
      <scheme val="minor"/>
    </font>
    <font>
      <sz val="11"/>
      <color rgb="FF000000"/>
      <name val="Calibri"/>
      <family val="2"/>
      <charset val="1"/>
      <scheme val="minor"/>
    </font>
    <font>
      <u/>
      <sz val="11"/>
      <color theme="10"/>
      <name val="Calibri"/>
      <family val="2"/>
      <charset val="1"/>
      <scheme val="minor"/>
    </font>
    <font>
      <u/>
      <sz val="11"/>
      <color theme="1"/>
      <name val="Calibri"/>
      <family val="2"/>
      <charset val="1"/>
      <scheme val="minor"/>
    </font>
    <font>
      <b/>
      <sz val="11"/>
      <color rgb="FFFF0000"/>
      <name val="Calibri"/>
      <family val="2"/>
      <charset val="1"/>
    </font>
    <font>
      <b/>
      <sz val="11"/>
      <name val="Calibri"/>
      <family val="2"/>
    </font>
  </fonts>
  <fills count="1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indexed="62"/>
        <bgColor indexed="62"/>
      </patternFill>
    </fill>
    <fill>
      <patternFill patternType="solid">
        <fgColor rgb="FF002060"/>
        <bgColor indexed="62"/>
      </patternFill>
    </fill>
    <fill>
      <patternFill patternType="solid">
        <fgColor rgb="FF66CCFF"/>
        <bgColor theme="0"/>
      </patternFill>
    </fill>
    <fill>
      <patternFill patternType="solid">
        <fgColor rgb="FF66CCFF"/>
        <bgColor indexed="44"/>
      </patternFill>
    </fill>
    <fill>
      <patternFill patternType="solid">
        <fgColor rgb="FFFFFF00"/>
        <bgColor rgb="FFFCD5B5"/>
      </patternFill>
    </fill>
    <fill>
      <patternFill patternType="solid">
        <fgColor rgb="FFFFFF66"/>
        <bgColor rgb="FFFAC090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FFEB9C"/>
      </patternFill>
    </fill>
    <fill>
      <patternFill patternType="solid">
        <fgColor indexed="42"/>
      </patternFill>
    </fill>
    <fill>
      <patternFill patternType="solid">
        <fgColor theme="0"/>
        <bgColor indexed="64"/>
      </patternFill>
    </fill>
    <fill>
      <patternFill patternType="solid">
        <fgColor rgb="FFFFC7CE"/>
      </patternFill>
    </fill>
    <fill>
      <patternFill patternType="solid">
        <fgColor rgb="FFFFFF99"/>
        <bgColor rgb="FFFCD5B5"/>
      </patternFill>
    </fill>
    <fill>
      <patternFill patternType="solid">
        <fgColor rgb="FFFFFF66"/>
        <bgColor rgb="FF000000"/>
      </patternFill>
    </fill>
    <fill>
      <patternFill patternType="solid">
        <fgColor rgb="FFFFFC00"/>
        <bgColor rgb="FFCCCCFF"/>
      </patternFill>
    </fill>
    <fill>
      <patternFill patternType="solid">
        <fgColor rgb="FFFFFF66"/>
        <bgColor rgb="FFCCCCFF"/>
      </patternFill>
    </fill>
  </fills>
  <borders count="83">
    <border>
      <left/>
      <right/>
      <top/>
      <bottom/>
      <diagonal/>
    </border>
    <border>
      <left style="thin">
        <color rgb="FFD0D7E5"/>
      </left>
      <right style="thin">
        <color rgb="FFD0D7E5"/>
      </right>
      <top style="thin">
        <color rgb="FFD0D7E5"/>
      </top>
      <bottom style="thin">
        <color rgb="FFD0D7E5"/>
      </bottom>
      <diagonal/>
    </border>
    <border>
      <left/>
      <right/>
      <top style="thin">
        <color rgb="FFFFFFFF"/>
      </top>
      <bottom style="thin">
        <color rgb="FFFFFFFF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ck">
        <color theme="0"/>
      </right>
      <top/>
      <bottom style="thick">
        <color theme="0"/>
      </bottom>
      <diagonal/>
    </border>
    <border>
      <left/>
      <right style="thick">
        <color theme="0"/>
      </right>
      <top style="thick">
        <color theme="0"/>
      </top>
      <bottom style="thick">
        <color theme="0"/>
      </bottom>
      <diagonal/>
    </border>
    <border>
      <left/>
      <right style="thick">
        <color theme="0"/>
      </right>
      <top/>
      <bottom/>
      <diagonal/>
    </border>
    <border>
      <left/>
      <right style="thick">
        <color theme="0"/>
      </right>
      <top style="dotted">
        <color theme="0"/>
      </top>
      <bottom style="medium">
        <color theme="0"/>
      </bottom>
      <diagonal/>
    </border>
    <border>
      <left style="thick">
        <color theme="0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ck">
        <color theme="0"/>
      </left>
      <right style="thin">
        <color indexed="9"/>
      </right>
      <top style="thin">
        <color theme="0"/>
      </top>
      <bottom style="thin">
        <color theme="0"/>
      </bottom>
      <diagonal/>
    </border>
    <border>
      <left style="thin">
        <color indexed="9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/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theme="1"/>
      </left>
      <right/>
      <top/>
      <bottom style="thin">
        <color auto="1"/>
      </bottom>
      <diagonal/>
    </border>
    <border>
      <left style="medium">
        <color theme="1"/>
      </left>
      <right style="thin">
        <color auto="1"/>
      </right>
      <top/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indexed="64"/>
      </left>
      <right/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medium">
        <color indexed="64"/>
      </left>
      <right style="thin">
        <color theme="1"/>
      </right>
      <top style="thin">
        <color theme="1"/>
      </top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indexed="64"/>
      </left>
      <right/>
      <top style="thin">
        <color rgb="FFFFFFFF"/>
      </top>
      <bottom style="thin">
        <color rgb="FFFFFFFF"/>
      </bottom>
      <diagonal/>
    </border>
    <border>
      <left style="medium">
        <color indexed="64"/>
      </left>
      <right/>
      <top/>
      <bottom style="thin">
        <color rgb="FFFFFFFF"/>
      </bottom>
      <diagonal/>
    </border>
    <border>
      <left/>
      <right/>
      <top/>
      <bottom style="thin">
        <color rgb="FFFFFFFF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indexed="64"/>
      </left>
      <right/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65">
    <xf numFmtId="0" fontId="0" fillId="0" borderId="0"/>
    <xf numFmtId="0" fontId="15" fillId="0" borderId="0"/>
    <xf numFmtId="170" fontId="15" fillId="0" borderId="0" applyFont="0" applyFill="0" applyBorder="0" applyAlignment="0" applyProtection="0"/>
    <xf numFmtId="170" fontId="23" fillId="0" borderId="0" applyFont="0" applyFill="0" applyBorder="0" applyAlignment="0" applyProtection="0"/>
    <xf numFmtId="170" fontId="14" fillId="2" borderId="6">
      <alignment vertical="center" wrapText="1"/>
    </xf>
    <xf numFmtId="171" fontId="15" fillId="0" borderId="0" applyFont="0" applyFill="0" applyBorder="0" applyAlignment="0" applyProtection="0"/>
    <xf numFmtId="0" fontId="10" fillId="0" borderId="0"/>
    <xf numFmtId="166" fontId="13" fillId="0" borderId="1">
      <alignment vertical="center" wrapText="1"/>
    </xf>
    <xf numFmtId="0" fontId="26" fillId="0" borderId="0" applyNumberFormat="0" applyFill="0" applyBorder="0" applyAlignment="0" applyProtection="0"/>
    <xf numFmtId="0" fontId="28" fillId="0" borderId="0"/>
    <xf numFmtId="170" fontId="33" fillId="13" borderId="1">
      <alignment vertical="center" wrapText="1"/>
    </xf>
    <xf numFmtId="170" fontId="27" fillId="11" borderId="6">
      <alignment vertical="center" wrapText="1"/>
    </xf>
    <xf numFmtId="170" fontId="8" fillId="0" borderId="0" applyFont="0" applyFill="0" applyBorder="0" applyAlignment="0" applyProtection="0"/>
    <xf numFmtId="0" fontId="30" fillId="12" borderId="0" applyNumberFormat="0" applyBorder="0" applyAlignment="0" applyProtection="0"/>
    <xf numFmtId="170" fontId="15" fillId="0" borderId="0" applyFont="0" applyFill="0" applyBorder="0" applyAlignment="0" applyProtection="0"/>
    <xf numFmtId="0" fontId="32" fillId="0" borderId="0"/>
    <xf numFmtId="0" fontId="15" fillId="0" borderId="0"/>
    <xf numFmtId="0" fontId="32" fillId="0" borderId="0"/>
    <xf numFmtId="0" fontId="15" fillId="0" borderId="0"/>
    <xf numFmtId="0" fontId="15" fillId="0" borderId="0"/>
    <xf numFmtId="0" fontId="15" fillId="0" borderId="0"/>
    <xf numFmtId="0" fontId="8" fillId="0" borderId="0"/>
    <xf numFmtId="0" fontId="32" fillId="0" borderId="0"/>
    <xf numFmtId="0" fontId="32" fillId="0" borderId="0"/>
    <xf numFmtId="0" fontId="8" fillId="0" borderId="0"/>
    <xf numFmtId="0" fontId="8" fillId="0" borderId="0"/>
    <xf numFmtId="0" fontId="8" fillId="0" borderId="0"/>
    <xf numFmtId="0" fontId="31" fillId="0" borderId="0"/>
    <xf numFmtId="174" fontId="33" fillId="0" borderId="1">
      <alignment vertical="center" wrapText="1"/>
    </xf>
    <xf numFmtId="165" fontId="23" fillId="0" borderId="0" applyFill="0" applyBorder="0" applyAlignment="0" applyProtection="0"/>
    <xf numFmtId="0" fontId="35" fillId="0" borderId="0"/>
    <xf numFmtId="0" fontId="7" fillId="0" borderId="0"/>
    <xf numFmtId="0" fontId="6" fillId="0" borderId="0"/>
    <xf numFmtId="0" fontId="13" fillId="0" borderId="0"/>
    <xf numFmtId="0" fontId="5" fillId="0" borderId="0"/>
    <xf numFmtId="171" fontId="23" fillId="0" borderId="0" applyFont="0" applyFill="0" applyBorder="0" applyAlignment="0" applyProtection="0"/>
    <xf numFmtId="170" fontId="23" fillId="0" borderId="0" applyFont="0" applyFill="0" applyBorder="0" applyAlignment="0" applyProtection="0"/>
    <xf numFmtId="43" fontId="13" fillId="0" borderId="0" applyFont="0" applyFill="0" applyBorder="0" applyAlignment="0" applyProtection="0"/>
    <xf numFmtId="0" fontId="4" fillId="0" borderId="0"/>
    <xf numFmtId="0" fontId="4" fillId="0" borderId="0"/>
    <xf numFmtId="44" fontId="4" fillId="0" borderId="0" applyFont="0" applyFill="0" applyBorder="0" applyAlignment="0" applyProtection="0"/>
    <xf numFmtId="43" fontId="23" fillId="0" borderId="0" applyFont="0" applyFill="0" applyBorder="0" applyAlignment="0" applyProtection="0"/>
    <xf numFmtId="0" fontId="13" fillId="0" borderId="0"/>
    <xf numFmtId="170" fontId="36" fillId="14" borderId="6">
      <alignment vertical="center" wrapText="1"/>
    </xf>
    <xf numFmtId="170" fontId="4" fillId="0" borderId="0" applyFont="0" applyFill="0" applyBorder="0" applyAlignment="0" applyProtection="0"/>
    <xf numFmtId="43" fontId="13" fillId="0" borderId="0" applyFont="0" applyFill="0" applyBorder="0" applyAlignment="0" applyProtection="0"/>
    <xf numFmtId="0" fontId="3" fillId="0" borderId="0"/>
    <xf numFmtId="0" fontId="3" fillId="0" borderId="0"/>
    <xf numFmtId="0" fontId="3" fillId="0" borderId="0"/>
    <xf numFmtId="0" fontId="3" fillId="0" borderId="0"/>
    <xf numFmtId="43" fontId="13" fillId="0" borderId="0" applyFont="0" applyFill="0" applyBorder="0" applyAlignment="0" applyProtection="0"/>
    <xf numFmtId="0" fontId="2" fillId="0" borderId="0"/>
    <xf numFmtId="0" fontId="2" fillId="0" borderId="0"/>
    <xf numFmtId="0" fontId="2" fillId="0" borderId="0"/>
    <xf numFmtId="0" fontId="43" fillId="0" borderId="0" applyNumberFormat="0" applyFill="0" applyBorder="0" applyAlignment="0" applyProtection="0"/>
    <xf numFmtId="0" fontId="2" fillId="0" borderId="0"/>
    <xf numFmtId="0" fontId="2" fillId="0" borderId="0"/>
    <xf numFmtId="43" fontId="13" fillId="0" borderId="0" applyFont="0" applyFill="0" applyBorder="0" applyAlignment="0" applyProtection="0"/>
    <xf numFmtId="0" fontId="23" fillId="0" borderId="0"/>
    <xf numFmtId="0" fontId="2" fillId="0" borderId="0"/>
    <xf numFmtId="164" fontId="23" fillId="0" borderId="0" applyFill="0" applyBorder="0" applyAlignment="0" applyProtection="0"/>
    <xf numFmtId="44" fontId="13" fillId="0" borderId="0" applyFont="0" applyFill="0" applyBorder="0" applyAlignment="0" applyProtection="0"/>
    <xf numFmtId="0" fontId="1" fillId="0" borderId="0"/>
    <xf numFmtId="0" fontId="1" fillId="0" borderId="0"/>
    <xf numFmtId="0" fontId="1" fillId="0" borderId="0"/>
  </cellStyleXfs>
  <cellXfs count="1177">
    <xf numFmtId="0" fontId="0" fillId="0" borderId="0" xfId="0"/>
    <xf numFmtId="18" fontId="19" fillId="0" borderId="7" xfId="1" applyNumberFormat="1" applyFont="1" applyFill="1" applyBorder="1" applyAlignment="1" applyProtection="1">
      <protection locked="0"/>
    </xf>
    <xf numFmtId="0" fontId="19" fillId="0" borderId="7" xfId="1" applyFont="1" applyFill="1" applyBorder="1" applyAlignment="1">
      <alignment horizontal="center"/>
    </xf>
    <xf numFmtId="171" fontId="19" fillId="0" borderId="7" xfId="5" applyFont="1" applyFill="1" applyBorder="1" applyProtection="1">
      <protection locked="0"/>
    </xf>
    <xf numFmtId="0" fontId="19" fillId="0" borderId="7" xfId="1" applyFont="1" applyFill="1" applyBorder="1" applyAlignment="1" applyProtection="1">
      <alignment horizontal="center"/>
      <protection locked="0"/>
    </xf>
    <xf numFmtId="0" fontId="19" fillId="0" borderId="7" xfId="1" applyFont="1" applyFill="1" applyBorder="1" applyProtection="1">
      <protection locked="0"/>
    </xf>
    <xf numFmtId="171" fontId="16" fillId="0" borderId="0" xfId="5" applyFont="1"/>
    <xf numFmtId="0" fontId="16" fillId="0" borderId="0" xfId="1" applyFont="1" applyProtection="1">
      <protection locked="0"/>
    </xf>
    <xf numFmtId="171" fontId="15" fillId="0" borderId="0" xfId="5" applyFont="1"/>
    <xf numFmtId="0" fontId="16" fillId="0" borderId="0" xfId="1" applyFont="1"/>
    <xf numFmtId="0" fontId="18" fillId="0" borderId="0" xfId="1" applyFont="1"/>
    <xf numFmtId="0" fontId="15" fillId="0" borderId="0" xfId="1" applyFont="1" applyProtection="1">
      <protection locked="0"/>
    </xf>
    <xf numFmtId="0" fontId="15" fillId="0" borderId="0" xfId="1" applyFont="1" applyFill="1"/>
    <xf numFmtId="0" fontId="15" fillId="0" borderId="0" xfId="1" applyFont="1"/>
    <xf numFmtId="0" fontId="10" fillId="0" borderId="0" xfId="6" applyBorder="1"/>
    <xf numFmtId="0" fontId="10" fillId="0" borderId="0" xfId="6"/>
    <xf numFmtId="0" fontId="12" fillId="0" borderId="0" xfId="0" applyFont="1" applyBorder="1"/>
    <xf numFmtId="0" fontId="0" fillId="0" borderId="0" xfId="0" applyFont="1"/>
    <xf numFmtId="0" fontId="12" fillId="0" borderId="0" xfId="0" applyFont="1" applyBorder="1" applyAlignment="1">
      <alignment horizontal="left"/>
    </xf>
    <xf numFmtId="164" fontId="12" fillId="0" borderId="3" xfId="7" applyNumberFormat="1" applyFont="1" applyBorder="1" applyAlignment="1" applyProtection="1"/>
    <xf numFmtId="0" fontId="12" fillId="0" borderId="3" xfId="0" applyFont="1" applyBorder="1" applyAlignment="1"/>
    <xf numFmtId="11" fontId="12" fillId="0" borderId="3" xfId="0" applyNumberFormat="1" applyFont="1" applyBorder="1" applyAlignment="1"/>
    <xf numFmtId="0" fontId="0" fillId="0" borderId="0" xfId="0" applyAlignment="1"/>
    <xf numFmtId="2" fontId="12" fillId="0" borderId="3" xfId="7" applyNumberFormat="1" applyFont="1" applyBorder="1" applyAlignment="1" applyProtection="1"/>
    <xf numFmtId="0" fontId="11" fillId="0" borderId="0" xfId="0" applyFont="1" applyBorder="1"/>
    <xf numFmtId="0" fontId="0" fillId="0" borderId="0" xfId="0" applyAlignment="1">
      <alignment wrapText="1"/>
    </xf>
    <xf numFmtId="0" fontId="0" fillId="0" borderId="3" xfId="0" applyBorder="1"/>
    <xf numFmtId="0" fontId="0" fillId="0" borderId="3" xfId="7" applyNumberFormat="1" applyFont="1" applyBorder="1" applyAlignment="1">
      <alignment wrapText="1"/>
    </xf>
    <xf numFmtId="49" fontId="12" fillId="0" borderId="0" xfId="0" applyNumberFormat="1" applyFont="1" applyBorder="1" applyAlignment="1">
      <alignment horizontal="left"/>
    </xf>
    <xf numFmtId="0" fontId="11" fillId="0" borderId="4" xfId="0" applyFont="1" applyBorder="1"/>
    <xf numFmtId="165" fontId="12" fillId="0" borderId="3" xfId="7" applyNumberFormat="1" applyFont="1" applyBorder="1" applyAlignment="1" applyProtection="1"/>
    <xf numFmtId="0" fontId="0" fillId="0" borderId="3" xfId="0" applyBorder="1" applyAlignment="1">
      <alignment wrapText="1"/>
    </xf>
    <xf numFmtId="165" fontId="12" fillId="0" borderId="3" xfId="7" applyNumberFormat="1" applyFont="1" applyBorder="1" applyAlignment="1" applyProtection="1">
      <alignment wrapText="1"/>
    </xf>
    <xf numFmtId="0" fontId="20" fillId="0" borderId="0" xfId="1" applyFont="1" applyAlignment="1">
      <alignment horizontal="center"/>
    </xf>
    <xf numFmtId="0" fontId="21" fillId="0" borderId="0" xfId="1" applyFont="1"/>
    <xf numFmtId="0" fontId="24" fillId="0" borderId="0" xfId="6" applyFont="1" applyFill="1" applyBorder="1"/>
    <xf numFmtId="0" fontId="10" fillId="0" borderId="0" xfId="6" applyFill="1"/>
    <xf numFmtId="0" fontId="10" fillId="0" borderId="0" xfId="6" applyFill="1" applyBorder="1"/>
    <xf numFmtId="0" fontId="10" fillId="0" borderId="0" xfId="6" applyFont="1"/>
    <xf numFmtId="0" fontId="10" fillId="0" borderId="0" xfId="6" applyFont="1" applyFill="1" applyBorder="1"/>
    <xf numFmtId="0" fontId="10" fillId="0" borderId="0" xfId="6" applyFont="1" applyFill="1"/>
    <xf numFmtId="0" fontId="19" fillId="0" borderId="7" xfId="1" applyFont="1" applyFill="1" applyBorder="1" applyAlignment="1">
      <alignment horizontal="left"/>
    </xf>
    <xf numFmtId="0" fontId="17" fillId="0" borderId="0" xfId="1" applyFont="1"/>
    <xf numFmtId="0" fontId="22" fillId="0" borderId="0" xfId="1" applyFont="1"/>
    <xf numFmtId="0" fontId="24" fillId="3" borderId="0" xfId="6" applyFont="1" applyFill="1" applyBorder="1" applyAlignment="1"/>
    <xf numFmtId="171" fontId="15" fillId="0" borderId="0" xfId="1" applyNumberFormat="1" applyFont="1"/>
    <xf numFmtId="0" fontId="20" fillId="0" borderId="8" xfId="1" applyFont="1" applyBorder="1" applyAlignment="1">
      <alignment horizontal="center" wrapText="1"/>
    </xf>
    <xf numFmtId="2" fontId="20" fillId="0" borderId="8" xfId="1" applyNumberFormat="1" applyFont="1" applyBorder="1" applyAlignment="1">
      <alignment horizontal="center" wrapText="1"/>
    </xf>
    <xf numFmtId="171" fontId="20" fillId="0" borderId="8" xfId="5" applyFont="1" applyBorder="1" applyAlignment="1">
      <alignment horizontal="center" wrapText="1"/>
    </xf>
    <xf numFmtId="0" fontId="25" fillId="4" borderId="9" xfId="6" applyFont="1" applyFill="1" applyBorder="1"/>
    <xf numFmtId="0" fontId="25" fillId="4" borderId="11" xfId="6" applyFont="1" applyFill="1" applyBorder="1"/>
    <xf numFmtId="0" fontId="25" fillId="4" borderId="10" xfId="6" applyFont="1" applyFill="1" applyBorder="1"/>
    <xf numFmtId="0" fontId="25" fillId="4" borderId="12" xfId="6" applyFont="1" applyFill="1" applyBorder="1"/>
    <xf numFmtId="0" fontId="10" fillId="5" borderId="14" xfId="6" quotePrefix="1" applyFill="1" applyBorder="1" applyAlignment="1">
      <alignment horizontal="left"/>
    </xf>
    <xf numFmtId="2" fontId="10" fillId="6" borderId="15" xfId="6" quotePrefix="1" applyNumberFormat="1" applyFill="1" applyBorder="1" applyAlignment="1">
      <alignment horizontal="right"/>
    </xf>
    <xf numFmtId="0" fontId="25" fillId="3" borderId="0" xfId="6" applyFont="1" applyFill="1" applyBorder="1" applyAlignment="1"/>
    <xf numFmtId="0" fontId="0" fillId="0" borderId="0" xfId="0" applyBorder="1"/>
    <xf numFmtId="0" fontId="0" fillId="0" borderId="0" xfId="0" applyFont="1" applyBorder="1"/>
    <xf numFmtId="0" fontId="0" fillId="0" borderId="0" xfId="0" applyBorder="1" applyAlignment="1">
      <alignment wrapText="1"/>
    </xf>
    <xf numFmtId="0" fontId="0" fillId="0" borderId="17" xfId="0" applyBorder="1"/>
    <xf numFmtId="0" fontId="0" fillId="0" borderId="18" xfId="0" applyBorder="1"/>
    <xf numFmtId="0" fontId="0" fillId="0" borderId="19" xfId="0" applyBorder="1"/>
    <xf numFmtId="0" fontId="0" fillId="0" borderId="20" xfId="0" applyBorder="1"/>
    <xf numFmtId="0" fontId="0" fillId="0" borderId="21" xfId="0" applyBorder="1"/>
    <xf numFmtId="0" fontId="12" fillId="0" borderId="20" xfId="7" applyNumberFormat="1" applyFont="1" applyBorder="1" applyAlignment="1"/>
    <xf numFmtId="0" fontId="0" fillId="0" borderId="20" xfId="0" applyFont="1" applyBorder="1"/>
    <xf numFmtId="0" fontId="0" fillId="0" borderId="20" xfId="0" applyBorder="1" applyAlignment="1"/>
    <xf numFmtId="0" fontId="11" fillId="0" borderId="21" xfId="0" applyFont="1" applyBorder="1"/>
    <xf numFmtId="0" fontId="0" fillId="0" borderId="20" xfId="0" applyBorder="1" applyAlignment="1">
      <alignment wrapText="1"/>
    </xf>
    <xf numFmtId="0" fontId="0" fillId="0" borderId="23" xfId="0" applyBorder="1"/>
    <xf numFmtId="0" fontId="0" fillId="0" borderId="24" xfId="0" applyBorder="1"/>
    <xf numFmtId="0" fontId="0" fillId="0" borderId="25" xfId="0" applyBorder="1"/>
    <xf numFmtId="0" fontId="12" fillId="0" borderId="16" xfId="0" applyFont="1" applyBorder="1"/>
    <xf numFmtId="0" fontId="12" fillId="0" borderId="16" xfId="7" applyNumberFormat="1" applyFont="1" applyBorder="1" applyAlignment="1" applyProtection="1"/>
    <xf numFmtId="165" fontId="12" fillId="0" borderId="16" xfId="7" applyNumberFormat="1" applyFont="1" applyBorder="1" applyAlignment="1" applyProtection="1"/>
    <xf numFmtId="164" fontId="12" fillId="0" borderId="16" xfId="7" applyNumberFormat="1" applyFont="1" applyBorder="1" applyAlignment="1" applyProtection="1"/>
    <xf numFmtId="11" fontId="12" fillId="0" borderId="16" xfId="0" applyNumberFormat="1" applyFont="1" applyBorder="1"/>
    <xf numFmtId="167" fontId="12" fillId="0" borderId="16" xfId="7" applyNumberFormat="1" applyFont="1" applyBorder="1" applyAlignment="1" applyProtection="1"/>
    <xf numFmtId="168" fontId="12" fillId="0" borderId="16" xfId="7" applyNumberFormat="1" applyFont="1" applyBorder="1" applyAlignment="1" applyProtection="1"/>
    <xf numFmtId="0" fontId="0" fillId="0" borderId="16" xfId="0" applyBorder="1" applyAlignment="1"/>
    <xf numFmtId="2" fontId="12" fillId="0" borderId="16" xfId="7" applyNumberFormat="1" applyFont="1" applyBorder="1" applyAlignment="1" applyProtection="1"/>
    <xf numFmtId="169" fontId="12" fillId="0" borderId="16" xfId="7" applyNumberFormat="1" applyFont="1" applyBorder="1" applyAlignment="1" applyProtection="1"/>
    <xf numFmtId="37" fontId="12" fillId="0" borderId="16" xfId="7" applyNumberFormat="1" applyFont="1" applyBorder="1" applyAlignment="1" applyProtection="1"/>
    <xf numFmtId="0" fontId="12" fillId="0" borderId="16" xfId="0" applyFont="1" applyBorder="1" applyAlignment="1">
      <alignment horizontal="right"/>
    </xf>
    <xf numFmtId="0" fontId="11" fillId="0" borderId="26" xfId="0" applyFont="1" applyBorder="1"/>
    <xf numFmtId="0" fontId="12" fillId="0" borderId="22" xfId="0" applyFont="1" applyBorder="1" applyAlignment="1"/>
    <xf numFmtId="0" fontId="26" fillId="0" borderId="16" xfId="8" applyNumberFormat="1" applyBorder="1" applyAlignment="1" applyProtection="1"/>
    <xf numFmtId="0" fontId="26" fillId="0" borderId="0" xfId="8" applyBorder="1"/>
    <xf numFmtId="0" fontId="26" fillId="0" borderId="0" xfId="8"/>
    <xf numFmtId="0" fontId="10" fillId="5" borderId="14" xfId="6" quotePrefix="1" applyFont="1" applyFill="1" applyBorder="1" applyAlignment="1">
      <alignment horizontal="left"/>
    </xf>
    <xf numFmtId="0" fontId="9" fillId="5" borderId="14" xfId="6" applyFont="1" applyFill="1" applyBorder="1"/>
    <xf numFmtId="0" fontId="9" fillId="5" borderId="13" xfId="6" applyFont="1" applyFill="1" applyBorder="1"/>
    <xf numFmtId="172" fontId="12" fillId="0" borderId="16" xfId="7" applyNumberFormat="1" applyFont="1" applyBorder="1" applyAlignment="1" applyProtection="1"/>
    <xf numFmtId="172" fontId="19" fillId="0" borderId="7" xfId="1" applyNumberFormat="1" applyFont="1" applyFill="1" applyBorder="1" applyAlignment="1">
      <alignment horizontal="right"/>
    </xf>
    <xf numFmtId="173" fontId="12" fillId="0" borderId="16" xfId="7" applyNumberFormat="1" applyFont="1" applyBorder="1" applyAlignment="1" applyProtection="1"/>
    <xf numFmtId="0" fontId="11" fillId="7" borderId="16" xfId="0" applyFont="1" applyFill="1" applyBorder="1"/>
    <xf numFmtId="0" fontId="11" fillId="7" borderId="0" xfId="0" applyFont="1" applyFill="1" applyBorder="1"/>
    <xf numFmtId="165" fontId="11" fillId="7" borderId="16" xfId="0" applyNumberFormat="1" applyFont="1" applyFill="1" applyBorder="1"/>
    <xf numFmtId="0" fontId="11" fillId="7" borderId="16" xfId="0" applyFont="1" applyFill="1" applyBorder="1" applyAlignment="1">
      <alignment horizontal="right"/>
    </xf>
    <xf numFmtId="0" fontId="11" fillId="8" borderId="16" xfId="0" applyFont="1" applyFill="1" applyBorder="1"/>
    <xf numFmtId="0" fontId="11" fillId="8" borderId="16" xfId="0" applyFont="1" applyFill="1" applyBorder="1" applyAlignment="1">
      <alignment horizontal="left"/>
    </xf>
    <xf numFmtId="0" fontId="11" fillId="8" borderId="2" xfId="0" applyFont="1" applyFill="1" applyBorder="1"/>
    <xf numFmtId="0" fontId="11" fillId="8" borderId="27" xfId="0" applyFont="1" applyFill="1" applyBorder="1"/>
    <xf numFmtId="0" fontId="11" fillId="8" borderId="5" xfId="0" applyFont="1" applyFill="1" applyBorder="1"/>
    <xf numFmtId="0" fontId="11" fillId="8" borderId="3" xfId="0" applyFont="1" applyFill="1" applyBorder="1"/>
    <xf numFmtId="0" fontId="11" fillId="8" borderId="3" xfId="0" applyFont="1" applyFill="1" applyBorder="1" applyAlignment="1">
      <alignment horizontal="right"/>
    </xf>
    <xf numFmtId="165" fontId="11" fillId="8" borderId="5" xfId="0" applyNumberFormat="1" applyFont="1" applyFill="1" applyBorder="1"/>
    <xf numFmtId="0" fontId="11" fillId="8" borderId="22" xfId="0" applyFont="1" applyFill="1" applyBorder="1"/>
    <xf numFmtId="0" fontId="11" fillId="8" borderId="5" xfId="0" applyFont="1" applyFill="1" applyBorder="1" applyAlignment="1">
      <alignment horizontal="right"/>
    </xf>
    <xf numFmtId="0" fontId="19" fillId="9" borderId="3" xfId="1" applyFont="1" applyFill="1" applyBorder="1" applyProtection="1">
      <protection locked="0"/>
    </xf>
    <xf numFmtId="0" fontId="19" fillId="9" borderId="3" xfId="1" applyFont="1" applyFill="1" applyBorder="1" applyAlignment="1">
      <alignment horizontal="left"/>
    </xf>
    <xf numFmtId="18" fontId="19" fillId="9" borderId="3" xfId="1" applyNumberFormat="1" applyFont="1" applyFill="1" applyBorder="1" applyAlignment="1" applyProtection="1">
      <protection locked="0"/>
    </xf>
    <xf numFmtId="172" fontId="19" fillId="9" borderId="3" xfId="5" applyNumberFormat="1" applyFont="1" applyFill="1" applyBorder="1" applyProtection="1">
      <protection locked="0"/>
    </xf>
    <xf numFmtId="172" fontId="19" fillId="9" borderId="3" xfId="1" applyNumberFormat="1" applyFont="1" applyFill="1" applyBorder="1" applyAlignment="1" applyProtection="1">
      <alignment horizontal="center"/>
      <protection locked="0"/>
    </xf>
    <xf numFmtId="172" fontId="19" fillId="9" borderId="3" xfId="1" applyNumberFormat="1" applyFont="1" applyFill="1" applyBorder="1" applyAlignment="1">
      <alignment horizontal="right"/>
    </xf>
    <xf numFmtId="0" fontId="19" fillId="9" borderId="3" xfId="1" applyFont="1" applyFill="1" applyBorder="1" applyAlignment="1">
      <alignment horizontal="center"/>
    </xf>
    <xf numFmtId="0" fontId="19" fillId="10" borderId="3" xfId="1" applyFont="1" applyFill="1" applyBorder="1" applyProtection="1">
      <protection locked="0"/>
    </xf>
    <xf numFmtId="18" fontId="19" fillId="10" borderId="3" xfId="1" applyNumberFormat="1" applyFont="1" applyFill="1" applyBorder="1" applyAlignment="1" applyProtection="1">
      <protection locked="0"/>
    </xf>
    <xf numFmtId="0" fontId="26" fillId="10" borderId="3" xfId="8" applyFill="1" applyBorder="1" applyAlignment="1">
      <alignment horizontal="left"/>
    </xf>
    <xf numFmtId="172" fontId="19" fillId="10" borderId="3" xfId="5" applyNumberFormat="1" applyFont="1" applyFill="1" applyBorder="1" applyProtection="1">
      <protection locked="0"/>
    </xf>
    <xf numFmtId="172" fontId="19" fillId="10" borderId="3" xfId="1" applyNumberFormat="1" applyFont="1" applyFill="1" applyBorder="1" applyAlignment="1" applyProtection="1">
      <alignment horizontal="center"/>
      <protection locked="0"/>
    </xf>
    <xf numFmtId="172" fontId="19" fillId="10" borderId="3" xfId="1" applyNumberFormat="1" applyFont="1" applyFill="1" applyBorder="1" applyAlignment="1">
      <alignment horizontal="right"/>
    </xf>
    <xf numFmtId="0" fontId="19" fillId="10" borderId="3" xfId="1" applyFont="1" applyFill="1" applyBorder="1" applyAlignment="1">
      <alignment horizontal="center"/>
    </xf>
    <xf numFmtId="0" fontId="19" fillId="10" borderId="3" xfId="1" applyFont="1" applyFill="1" applyBorder="1" applyAlignment="1" applyProtection="1">
      <alignment horizontal="center"/>
      <protection locked="0"/>
    </xf>
    <xf numFmtId="170" fontId="34" fillId="0" borderId="0" xfId="11" applyFont="1" applyFill="1" applyBorder="1">
      <alignment vertical="center" wrapText="1"/>
    </xf>
    <xf numFmtId="0" fontId="12" fillId="0" borderId="16" xfId="0" applyNumberFormat="1" applyFont="1" applyBorder="1"/>
    <xf numFmtId="165" fontId="29" fillId="0" borderId="28" xfId="29" applyFont="1" applyFill="1" applyBorder="1" applyAlignment="1" applyProtection="1"/>
    <xf numFmtId="39" fontId="29" fillId="0" borderId="28" xfId="29" applyNumberFormat="1" applyFont="1" applyFill="1" applyBorder="1" applyAlignment="1" applyProtection="1"/>
    <xf numFmtId="37" fontId="29" fillId="0" borderId="30" xfId="29" applyNumberFormat="1" applyFont="1" applyFill="1" applyBorder="1" applyAlignment="1" applyProtection="1"/>
    <xf numFmtId="165" fontId="29" fillId="0" borderId="30" xfId="29" applyFont="1" applyFill="1" applyBorder="1" applyAlignment="1" applyProtection="1"/>
    <xf numFmtId="37" fontId="29" fillId="0" borderId="28" xfId="29" applyNumberFormat="1" applyFont="1" applyFill="1" applyBorder="1" applyAlignment="1" applyProtection="1"/>
    <xf numFmtId="176" fontId="0" fillId="0" borderId="0" xfId="0" applyNumberFormat="1"/>
    <xf numFmtId="176" fontId="0" fillId="0" borderId="0" xfId="0" applyNumberFormat="1" applyFont="1"/>
    <xf numFmtId="176" fontId="0" fillId="0" borderId="0" xfId="0" applyNumberFormat="1" applyAlignment="1">
      <alignment wrapText="1"/>
    </xf>
    <xf numFmtId="0" fontId="0" fillId="10" borderId="0" xfId="0" applyFill="1"/>
    <xf numFmtId="0" fontId="29" fillId="0" borderId="28" xfId="31" applyFont="1" applyFill="1" applyBorder="1"/>
    <xf numFmtId="0" fontId="29" fillId="0" borderId="28" xfId="31" applyNumberFormat="1" applyFont="1" applyFill="1" applyBorder="1"/>
    <xf numFmtId="0" fontId="29" fillId="0" borderId="29" xfId="31" applyFont="1" applyFill="1" applyBorder="1"/>
    <xf numFmtId="4" fontId="29" fillId="0" borderId="28" xfId="31" applyNumberFormat="1" applyFont="1" applyFill="1" applyBorder="1"/>
    <xf numFmtId="2" fontId="29" fillId="0" borderId="28" xfId="31" applyNumberFormat="1" applyFont="1" applyFill="1" applyBorder="1"/>
    <xf numFmtId="18" fontId="26" fillId="9" borderId="3" xfId="8" applyNumberFormat="1" applyFill="1" applyBorder="1" applyAlignment="1" applyProtection="1">
      <protection locked="0"/>
    </xf>
    <xf numFmtId="0" fontId="29" fillId="0" borderId="3" xfId="9" applyFont="1" applyFill="1" applyBorder="1" applyAlignment="1" applyProtection="1">
      <alignment wrapText="1"/>
    </xf>
    <xf numFmtId="0" fontId="29" fillId="0" borderId="3" xfId="9" applyFont="1" applyFill="1" applyBorder="1" applyAlignment="1">
      <alignment horizontal="left" wrapText="1"/>
    </xf>
    <xf numFmtId="1" fontId="12" fillId="0" borderId="3" xfId="7" applyNumberFormat="1" applyFont="1" applyBorder="1" applyAlignment="1" applyProtection="1"/>
    <xf numFmtId="178" fontId="12" fillId="0" borderId="3" xfId="0" applyNumberFormat="1" applyFont="1" applyBorder="1" applyAlignment="1"/>
    <xf numFmtId="170" fontId="34" fillId="0" borderId="3" xfId="11" applyNumberFormat="1" applyFont="1" applyFill="1" applyBorder="1">
      <alignment vertical="center" wrapText="1"/>
    </xf>
    <xf numFmtId="165" fontId="12" fillId="0" borderId="31" xfId="7" applyNumberFormat="1" applyFont="1" applyBorder="1" applyAlignment="1" applyProtection="1"/>
    <xf numFmtId="0" fontId="19" fillId="9" borderId="3" xfId="1" applyFont="1" applyFill="1" applyBorder="1" applyAlignment="1" applyProtection="1">
      <alignment horizontal="center"/>
      <protection locked="0"/>
    </xf>
    <xf numFmtId="0" fontId="13" fillId="0" borderId="17" xfId="33" applyBorder="1"/>
    <xf numFmtId="0" fontId="13" fillId="0" borderId="18" xfId="33" applyBorder="1"/>
    <xf numFmtId="0" fontId="13" fillId="0" borderId="19" xfId="33" applyBorder="1"/>
    <xf numFmtId="0" fontId="13" fillId="0" borderId="0" xfId="33"/>
    <xf numFmtId="0" fontId="11" fillId="7" borderId="16" xfId="33" applyFont="1" applyFill="1" applyBorder="1"/>
    <xf numFmtId="0" fontId="12" fillId="0" borderId="0" xfId="33" applyFont="1" applyBorder="1"/>
    <xf numFmtId="0" fontId="13" fillId="0" borderId="0" xfId="33" applyBorder="1"/>
    <xf numFmtId="0" fontId="12" fillId="0" borderId="16" xfId="33" applyFont="1" applyBorder="1" applyAlignment="1">
      <alignment horizontal="right"/>
    </xf>
    <xf numFmtId="0" fontId="13" fillId="0" borderId="20" xfId="33" applyBorder="1"/>
    <xf numFmtId="0" fontId="13" fillId="0" borderId="0" xfId="33" applyFont="1" applyBorder="1"/>
    <xf numFmtId="0" fontId="11" fillId="7" borderId="0" xfId="33" applyFont="1" applyFill="1" applyBorder="1"/>
    <xf numFmtId="0" fontId="12" fillId="0" borderId="0" xfId="33" applyFont="1" applyBorder="1" applyAlignment="1">
      <alignment horizontal="left"/>
    </xf>
    <xf numFmtId="0" fontId="13" fillId="0" borderId="21" xfId="33" applyBorder="1"/>
    <xf numFmtId="0" fontId="12" fillId="0" borderId="16" xfId="33" applyFont="1" applyBorder="1"/>
    <xf numFmtId="0" fontId="12" fillId="0" borderId="16" xfId="33" applyNumberFormat="1" applyFont="1" applyBorder="1"/>
    <xf numFmtId="0" fontId="13" fillId="0" borderId="0" xfId="33" applyFont="1"/>
    <xf numFmtId="0" fontId="13" fillId="0" borderId="20" xfId="33" applyFont="1" applyBorder="1"/>
    <xf numFmtId="0" fontId="11" fillId="7" borderId="16" xfId="33" applyFont="1" applyFill="1" applyBorder="1" applyAlignment="1">
      <alignment horizontal="right"/>
    </xf>
    <xf numFmtId="165" fontId="11" fillId="7" borderId="16" xfId="33" applyNumberFormat="1" applyFont="1" applyFill="1" applyBorder="1"/>
    <xf numFmtId="11" fontId="12" fillId="0" borderId="16" xfId="33" applyNumberFormat="1" applyFont="1" applyBorder="1"/>
    <xf numFmtId="0" fontId="29" fillId="0" borderId="28" xfId="34" applyFont="1" applyFill="1" applyBorder="1"/>
    <xf numFmtId="0" fontId="29" fillId="0" borderId="28" xfId="34" applyFont="1" applyFill="1" applyBorder="1" applyAlignment="1">
      <alignment wrapText="1"/>
    </xf>
    <xf numFmtId="0" fontId="12" fillId="0" borderId="16" xfId="33" applyFont="1" applyBorder="1" applyAlignment="1"/>
    <xf numFmtId="11" fontId="12" fillId="0" borderId="16" xfId="33" applyNumberFormat="1" applyFont="1" applyBorder="1" applyAlignment="1"/>
    <xf numFmtId="0" fontId="13" fillId="0" borderId="16" xfId="33" applyBorder="1" applyAlignment="1"/>
    <xf numFmtId="0" fontId="13" fillId="0" borderId="20" xfId="33" applyBorder="1" applyAlignment="1"/>
    <xf numFmtId="0" fontId="13" fillId="0" borderId="0" xfId="33" applyAlignment="1"/>
    <xf numFmtId="0" fontId="11" fillId="0" borderId="21" xfId="33" applyFont="1" applyBorder="1"/>
    <xf numFmtId="0" fontId="11" fillId="0" borderId="0" xfId="33" applyFont="1" applyBorder="1"/>
    <xf numFmtId="0" fontId="13" fillId="0" borderId="20" xfId="33" applyBorder="1" applyAlignment="1">
      <alignment wrapText="1"/>
    </xf>
    <xf numFmtId="0" fontId="13" fillId="0" borderId="0" xfId="33" applyAlignment="1">
      <alignment wrapText="1"/>
    </xf>
    <xf numFmtId="0" fontId="29" fillId="0" borderId="28" xfId="34" applyNumberFormat="1" applyFont="1" applyFill="1" applyBorder="1"/>
    <xf numFmtId="0" fontId="28" fillId="0" borderId="0" xfId="9"/>
    <xf numFmtId="4" fontId="29" fillId="0" borderId="28" xfId="34" applyNumberFormat="1" applyFont="1" applyFill="1" applyBorder="1"/>
    <xf numFmtId="0" fontId="23" fillId="0" borderId="28" xfId="34" applyFont="1" applyFill="1" applyBorder="1"/>
    <xf numFmtId="2" fontId="29" fillId="0" borderId="28" xfId="34" applyNumberFormat="1" applyFont="1" applyFill="1" applyBorder="1"/>
    <xf numFmtId="0" fontId="13" fillId="0" borderId="0" xfId="33" applyBorder="1" applyAlignment="1">
      <alignment wrapText="1"/>
    </xf>
    <xf numFmtId="0" fontId="13" fillId="0" borderId="23" xfId="33" applyBorder="1"/>
    <xf numFmtId="0" fontId="13" fillId="0" borderId="24" xfId="33" applyBorder="1"/>
    <xf numFmtId="0" fontId="13" fillId="0" borderId="25" xfId="33" applyBorder="1"/>
    <xf numFmtId="0" fontId="11" fillId="8" borderId="16" xfId="33" applyFont="1" applyFill="1" applyBorder="1"/>
    <xf numFmtId="0" fontId="11" fillId="8" borderId="16" xfId="33" applyFont="1" applyFill="1" applyBorder="1" applyAlignment="1">
      <alignment horizontal="left"/>
    </xf>
    <xf numFmtId="0" fontId="11" fillId="8" borderId="2" xfId="33" applyFont="1" applyFill="1" applyBorder="1"/>
    <xf numFmtId="49" fontId="12" fillId="0" borderId="0" xfId="33" applyNumberFormat="1" applyFont="1" applyBorder="1" applyAlignment="1">
      <alignment horizontal="left"/>
    </xf>
    <xf numFmtId="0" fontId="11" fillId="0" borderId="26" xfId="33" applyFont="1" applyBorder="1"/>
    <xf numFmtId="0" fontId="11" fillId="0" borderId="4" xfId="33" applyFont="1" applyBorder="1"/>
    <xf numFmtId="0" fontId="11" fillId="8" borderId="27" xfId="33" applyFont="1" applyFill="1" applyBorder="1"/>
    <xf numFmtId="0" fontId="11" fillId="8" borderId="5" xfId="33" applyFont="1" applyFill="1" applyBorder="1"/>
    <xf numFmtId="0" fontId="11" fillId="8" borderId="3" xfId="33" applyFont="1" applyFill="1" applyBorder="1"/>
    <xf numFmtId="0" fontId="12" fillId="0" borderId="22" xfId="33" applyFont="1" applyBorder="1" applyAlignment="1"/>
    <xf numFmtId="0" fontId="13" fillId="0" borderId="3" xfId="33" applyBorder="1"/>
    <xf numFmtId="0" fontId="12" fillId="0" borderId="3" xfId="33" applyFont="1" applyBorder="1" applyAlignment="1"/>
    <xf numFmtId="11" fontId="12" fillId="0" borderId="3" xfId="33" applyNumberFormat="1" applyFont="1" applyBorder="1" applyAlignment="1"/>
    <xf numFmtId="0" fontId="11" fillId="8" borderId="3" xfId="33" applyFont="1" applyFill="1" applyBorder="1" applyAlignment="1">
      <alignment horizontal="right"/>
    </xf>
    <xf numFmtId="165" fontId="11" fillId="8" borderId="5" xfId="33" applyNumberFormat="1" applyFont="1" applyFill="1" applyBorder="1"/>
    <xf numFmtId="176" fontId="13" fillId="0" borderId="0" xfId="33" applyNumberFormat="1"/>
    <xf numFmtId="0" fontId="11" fillId="8" borderId="22" xfId="33" applyFont="1" applyFill="1" applyBorder="1"/>
    <xf numFmtId="0" fontId="13" fillId="0" borderId="22" xfId="33" applyBorder="1" applyAlignment="1">
      <alignment wrapText="1"/>
    </xf>
    <xf numFmtId="0" fontId="13" fillId="0" borderId="3" xfId="33" applyBorder="1" applyAlignment="1">
      <alignment wrapText="1"/>
    </xf>
    <xf numFmtId="0" fontId="12" fillId="0" borderId="22" xfId="33" applyFont="1" applyBorder="1"/>
    <xf numFmtId="0" fontId="11" fillId="8" borderId="5" xfId="33" applyFont="1" applyFill="1" applyBorder="1" applyAlignment="1">
      <alignment horizontal="right"/>
    </xf>
    <xf numFmtId="0" fontId="11" fillId="8" borderId="31" xfId="33" applyFont="1" applyFill="1" applyBorder="1"/>
    <xf numFmtId="0" fontId="12" fillId="0" borderId="32" xfId="7" applyNumberFormat="1" applyFont="1" applyBorder="1" applyAlignment="1" applyProtection="1"/>
    <xf numFmtId="176" fontId="12" fillId="0" borderId="3" xfId="33" applyNumberFormat="1" applyFont="1" applyBorder="1" applyAlignment="1"/>
    <xf numFmtId="0" fontId="12" fillId="0" borderId="3" xfId="33" applyNumberFormat="1" applyFont="1" applyBorder="1"/>
    <xf numFmtId="0" fontId="13" fillId="10" borderId="0" xfId="33" applyFill="1"/>
    <xf numFmtId="49" fontId="26" fillId="0" borderId="0" xfId="8" applyNumberFormat="1"/>
    <xf numFmtId="0" fontId="28" fillId="0" borderId="3" xfId="9" applyBorder="1"/>
    <xf numFmtId="0" fontId="29" fillId="0" borderId="3" xfId="30" applyFont="1" applyFill="1" applyBorder="1" applyAlignment="1">
      <alignment wrapText="1"/>
    </xf>
    <xf numFmtId="170" fontId="29" fillId="0" borderId="3" xfId="3" applyFont="1" applyFill="1" applyBorder="1"/>
    <xf numFmtId="170" fontId="29" fillId="0" borderId="3" xfId="3" applyNumberFormat="1" applyFont="1" applyFill="1" applyBorder="1" applyAlignment="1"/>
    <xf numFmtId="177" fontId="29" fillId="0" borderId="3" xfId="9" applyNumberFormat="1" applyFont="1" applyFill="1" applyBorder="1" applyAlignment="1">
      <alignment horizontal="right" wrapText="1"/>
    </xf>
    <xf numFmtId="0" fontId="29" fillId="0" borderId="3" xfId="9" applyFont="1" applyFill="1" applyBorder="1"/>
    <xf numFmtId="0" fontId="29" fillId="0" borderId="3" xfId="9" applyFont="1" applyFill="1" applyBorder="1" applyAlignment="1">
      <alignment wrapText="1"/>
    </xf>
    <xf numFmtId="0" fontId="11" fillId="0" borderId="0" xfId="9" applyFont="1" applyBorder="1"/>
    <xf numFmtId="0" fontId="28" fillId="0" borderId="20" xfId="9" applyBorder="1" applyAlignment="1">
      <alignment wrapText="1"/>
    </xf>
    <xf numFmtId="0" fontId="28" fillId="0" borderId="0" xfId="9" applyBorder="1"/>
    <xf numFmtId="0" fontId="28" fillId="0" borderId="20" xfId="9" applyBorder="1"/>
    <xf numFmtId="0" fontId="29" fillId="0" borderId="3" xfId="9" applyNumberFormat="1" applyFont="1" applyFill="1" applyBorder="1" applyAlignment="1">
      <alignment wrapText="1"/>
    </xf>
    <xf numFmtId="0" fontId="13" fillId="0" borderId="0" xfId="9" applyFont="1" applyBorder="1"/>
    <xf numFmtId="0" fontId="13" fillId="0" borderId="20" xfId="9" applyFont="1" applyBorder="1"/>
    <xf numFmtId="0" fontId="29" fillId="0" borderId="6" xfId="30" applyFont="1" applyFill="1" applyBorder="1" applyAlignment="1">
      <alignment wrapText="1"/>
    </xf>
    <xf numFmtId="0" fontId="28" fillId="0" borderId="0" xfId="9" applyAlignment="1">
      <alignment wrapText="1"/>
    </xf>
    <xf numFmtId="0" fontId="34" fillId="0" borderId="3" xfId="9" applyFont="1" applyBorder="1"/>
    <xf numFmtId="0" fontId="12" fillId="0" borderId="33" xfId="0" applyFont="1" applyBorder="1"/>
    <xf numFmtId="0" fontId="29" fillId="0" borderId="29" xfId="31" applyFont="1" applyFill="1" applyBorder="1" applyAlignment="1">
      <alignment wrapText="1"/>
    </xf>
    <xf numFmtId="165" fontId="12" fillId="0" borderId="33" xfId="7" applyNumberFormat="1" applyFont="1" applyBorder="1" applyAlignment="1" applyProtection="1"/>
    <xf numFmtId="164" fontId="12" fillId="0" borderId="33" xfId="7" applyNumberFormat="1" applyFont="1" applyBorder="1" applyAlignment="1" applyProtection="1"/>
    <xf numFmtId="2" fontId="12" fillId="0" borderId="33" xfId="7" applyNumberFormat="1" applyFont="1" applyBorder="1" applyAlignment="1" applyProtection="1"/>
    <xf numFmtId="0" fontId="0" fillId="0" borderId="33" xfId="0" applyBorder="1" applyAlignment="1"/>
    <xf numFmtId="165" fontId="11" fillId="7" borderId="34" xfId="0" applyNumberFormat="1" applyFont="1" applyFill="1" applyBorder="1"/>
    <xf numFmtId="0" fontId="11" fillId="7" borderId="36" xfId="0" applyFont="1" applyFill="1" applyBorder="1"/>
    <xf numFmtId="0" fontId="38" fillId="0" borderId="28" xfId="31" applyFont="1" applyFill="1" applyBorder="1"/>
    <xf numFmtId="0" fontId="11" fillId="15" borderId="16" xfId="9" applyFont="1" applyFill="1" applyBorder="1"/>
    <xf numFmtId="170" fontId="29" fillId="0" borderId="3" xfId="36" applyFont="1" applyFill="1" applyBorder="1"/>
    <xf numFmtId="170" fontId="29" fillId="0" borderId="3" xfId="36" applyNumberFormat="1" applyFont="1" applyFill="1" applyBorder="1"/>
    <xf numFmtId="0" fontId="11" fillId="0" borderId="21" xfId="9" applyFont="1" applyBorder="1"/>
    <xf numFmtId="165" fontId="11" fillId="7" borderId="34" xfId="9" applyNumberFormat="1" applyFont="1" applyFill="1" applyBorder="1"/>
    <xf numFmtId="0" fontId="11" fillId="7" borderId="34" xfId="9" applyFont="1" applyFill="1" applyBorder="1" applyAlignment="1">
      <alignment horizontal="right"/>
    </xf>
    <xf numFmtId="11" fontId="12" fillId="0" borderId="16" xfId="7" applyNumberFormat="1" applyFont="1" applyBorder="1" applyAlignment="1" applyProtection="1"/>
    <xf numFmtId="0" fontId="12" fillId="0" borderId="3" xfId="9" applyFont="1" applyBorder="1" applyAlignment="1">
      <alignment wrapText="1"/>
    </xf>
    <xf numFmtId="0" fontId="12" fillId="0" borderId="3" xfId="30" applyFont="1" applyFill="1" applyBorder="1" applyAlignment="1">
      <alignment wrapText="1"/>
    </xf>
    <xf numFmtId="170" fontId="12" fillId="0" borderId="3" xfId="3" applyFont="1" applyFill="1" applyBorder="1" applyAlignment="1">
      <alignment wrapText="1"/>
    </xf>
    <xf numFmtId="0" fontId="12" fillId="0" borderId="3" xfId="9" applyFont="1" applyFill="1" applyBorder="1"/>
    <xf numFmtId="0" fontId="12" fillId="0" borderId="3" xfId="9" applyFont="1" applyFill="1" applyBorder="1" applyAlignment="1">
      <alignment wrapText="1"/>
    </xf>
    <xf numFmtId="170" fontId="12" fillId="0" borderId="3" xfId="3" applyFont="1" applyFill="1" applyBorder="1"/>
    <xf numFmtId="1" fontId="12" fillId="0" borderId="3" xfId="9" applyNumberFormat="1" applyFont="1" applyFill="1" applyBorder="1"/>
    <xf numFmtId="1" fontId="12" fillId="0" borderId="3" xfId="9" applyNumberFormat="1" applyFont="1" applyBorder="1" applyAlignment="1">
      <alignment wrapText="1"/>
    </xf>
    <xf numFmtId="181" fontId="12" fillId="0" borderId="16" xfId="7" applyNumberFormat="1" applyFont="1" applyBorder="1" applyAlignment="1" applyProtection="1"/>
    <xf numFmtId="182" fontId="12" fillId="0" borderId="3" xfId="0" applyNumberFormat="1" applyFont="1" applyBorder="1" applyAlignment="1"/>
    <xf numFmtId="11" fontId="29" fillId="0" borderId="3" xfId="9" applyNumberFormat="1" applyFont="1" applyFill="1" applyBorder="1" applyAlignment="1">
      <alignment horizontal="right" wrapText="1"/>
    </xf>
    <xf numFmtId="0" fontId="11" fillId="7" borderId="34" xfId="0" applyFont="1" applyFill="1" applyBorder="1" applyAlignment="1">
      <alignment horizontal="right"/>
    </xf>
    <xf numFmtId="18" fontId="19" fillId="10" borderId="37" xfId="1" applyNumberFormat="1" applyFont="1" applyFill="1" applyBorder="1" applyAlignment="1" applyProtection="1">
      <protection locked="0"/>
    </xf>
    <xf numFmtId="0" fontId="19" fillId="10" borderId="37" xfId="1" applyFont="1" applyFill="1" applyBorder="1" applyAlignment="1">
      <alignment horizontal="center"/>
    </xf>
    <xf numFmtId="0" fontId="26" fillId="9" borderId="3" xfId="8" applyFill="1" applyBorder="1" applyAlignment="1">
      <alignment horizontal="left"/>
    </xf>
    <xf numFmtId="0" fontId="34" fillId="0" borderId="0" xfId="39" applyFont="1" applyBorder="1"/>
    <xf numFmtId="0" fontId="0" fillId="0" borderId="43" xfId="0" applyBorder="1"/>
    <xf numFmtId="170" fontId="34" fillId="0" borderId="0" xfId="39" applyNumberFormat="1" applyFont="1" applyBorder="1"/>
    <xf numFmtId="0" fontId="0" fillId="0" borderId="42" xfId="0" applyBorder="1"/>
    <xf numFmtId="0" fontId="34" fillId="0" borderId="0" xfId="39" applyFont="1" applyBorder="1" applyAlignment="1">
      <alignment horizontal="right"/>
    </xf>
    <xf numFmtId="37" fontId="34" fillId="0" borderId="0" xfId="39" applyNumberFormat="1" applyFont="1" applyBorder="1"/>
    <xf numFmtId="0" fontId="0" fillId="0" borderId="41" xfId="0" applyBorder="1"/>
    <xf numFmtId="0" fontId="0" fillId="0" borderId="40" xfId="0" applyBorder="1"/>
    <xf numFmtId="0" fontId="26" fillId="0" borderId="0" xfId="8" applyFill="1" applyBorder="1"/>
    <xf numFmtId="170" fontId="29" fillId="0" borderId="3" xfId="36" applyFont="1" applyFill="1" applyBorder="1"/>
    <xf numFmtId="170" fontId="29" fillId="0" borderId="3" xfId="3" applyFont="1" applyFill="1" applyBorder="1"/>
    <xf numFmtId="170" fontId="29" fillId="0" borderId="3" xfId="36" applyNumberFormat="1" applyFont="1" applyFill="1" applyBorder="1"/>
    <xf numFmtId="0" fontId="26" fillId="0" borderId="0" xfId="8"/>
    <xf numFmtId="0" fontId="29" fillId="0" borderId="3" xfId="30" applyFont="1" applyFill="1" applyBorder="1" applyAlignment="1">
      <alignment wrapText="1"/>
    </xf>
    <xf numFmtId="165" fontId="12" fillId="0" borderId="3" xfId="7" applyNumberFormat="1" applyFont="1" applyBorder="1" applyAlignment="1" applyProtection="1"/>
    <xf numFmtId="164" fontId="12" fillId="0" borderId="3" xfId="7" applyNumberFormat="1" applyFont="1" applyBorder="1" applyAlignment="1" applyProtection="1"/>
    <xf numFmtId="0" fontId="34" fillId="0" borderId="44" xfId="39" applyFont="1" applyBorder="1"/>
    <xf numFmtId="0" fontId="39" fillId="0" borderId="44" xfId="39" applyFont="1" applyBorder="1"/>
    <xf numFmtId="0" fontId="39" fillId="0" borderId="0" xfId="39" applyFont="1" applyBorder="1"/>
    <xf numFmtId="1" fontId="29" fillId="0" borderId="46" xfId="42" applyNumberFormat="1" applyFont="1" applyFill="1" applyBorder="1"/>
    <xf numFmtId="0" fontId="29" fillId="0" borderId="47" xfId="42" applyFont="1" applyFill="1" applyBorder="1"/>
    <xf numFmtId="0" fontId="0" fillId="0" borderId="48" xfId="0" applyBorder="1"/>
    <xf numFmtId="0" fontId="0" fillId="0" borderId="49" xfId="0" applyBorder="1"/>
    <xf numFmtId="0" fontId="0" fillId="0" borderId="50" xfId="0" applyBorder="1"/>
    <xf numFmtId="0" fontId="39" fillId="16" borderId="38" xfId="39" applyFont="1" applyFill="1" applyBorder="1"/>
    <xf numFmtId="183" fontId="39" fillId="16" borderId="39" xfId="39" applyNumberFormat="1" applyFont="1" applyFill="1" applyBorder="1"/>
    <xf numFmtId="0" fontId="39" fillId="16" borderId="5" xfId="39" applyFont="1" applyFill="1" applyBorder="1" applyAlignment="1">
      <alignment horizontal="right"/>
    </xf>
    <xf numFmtId="170" fontId="39" fillId="16" borderId="39" xfId="39" applyNumberFormat="1" applyFont="1" applyFill="1" applyBorder="1"/>
    <xf numFmtId="0" fontId="39" fillId="16" borderId="46" xfId="39" applyFont="1" applyFill="1" applyBorder="1"/>
    <xf numFmtId="11" fontId="0" fillId="0" borderId="0" xfId="0" applyNumberFormat="1"/>
    <xf numFmtId="170" fontId="29" fillId="0" borderId="46" xfId="3" applyFont="1" applyFill="1" applyBorder="1"/>
    <xf numFmtId="170" fontId="29" fillId="0" borderId="46" xfId="3" applyNumberFormat="1" applyFont="1" applyFill="1" applyBorder="1" applyAlignment="1"/>
    <xf numFmtId="0" fontId="37" fillId="0" borderId="45" xfId="30" applyFont="1" applyFill="1" applyBorder="1" applyAlignment="1">
      <alignment wrapText="1"/>
    </xf>
    <xf numFmtId="0" fontId="40" fillId="0" borderId="46" xfId="39" applyFont="1" applyBorder="1"/>
    <xf numFmtId="0" fontId="37" fillId="13" borderId="46" xfId="42" applyFont="1" applyFill="1" applyBorder="1"/>
    <xf numFmtId="0" fontId="37" fillId="0" borderId="46" xfId="30" applyFont="1" applyFill="1" applyBorder="1" applyAlignment="1">
      <alignment wrapText="1"/>
    </xf>
    <xf numFmtId="0" fontId="40" fillId="0" borderId="0" xfId="39" applyFont="1" applyBorder="1"/>
    <xf numFmtId="170" fontId="37" fillId="13" borderId="46" xfId="42" applyNumberFormat="1" applyFont="1" applyFill="1" applyBorder="1"/>
    <xf numFmtId="170" fontId="37" fillId="0" borderId="46" xfId="3" applyNumberFormat="1" applyFont="1" applyFill="1" applyBorder="1" applyAlignment="1"/>
    <xf numFmtId="0" fontId="41" fillId="0" borderId="0" xfId="39" applyFont="1" applyBorder="1"/>
    <xf numFmtId="184" fontId="40" fillId="0" borderId="46" xfId="40" applyNumberFormat="1" applyFont="1" applyBorder="1"/>
    <xf numFmtId="0" fontId="37" fillId="0" borderId="0" xfId="0" applyFont="1" applyBorder="1"/>
    <xf numFmtId="0" fontId="11" fillId="8" borderId="51" xfId="0" applyFont="1" applyFill="1" applyBorder="1"/>
    <xf numFmtId="0" fontId="39" fillId="16" borderId="47" xfId="39" applyFont="1" applyFill="1" applyBorder="1"/>
    <xf numFmtId="0" fontId="29" fillId="0" borderId="46" xfId="42" applyFont="1" applyFill="1" applyBorder="1" applyAlignment="1" applyProtection="1">
      <alignment wrapText="1"/>
    </xf>
    <xf numFmtId="0" fontId="29" fillId="0" borderId="46" xfId="42" applyFont="1" applyFill="1" applyBorder="1" applyAlignment="1">
      <alignment horizontal="left"/>
    </xf>
    <xf numFmtId="177" fontId="29" fillId="0" borderId="46" xfId="42" applyNumberFormat="1" applyFont="1" applyFill="1" applyBorder="1"/>
    <xf numFmtId="0" fontId="29" fillId="0" borderId="46" xfId="42" applyFont="1" applyFill="1" applyBorder="1"/>
    <xf numFmtId="43" fontId="29" fillId="0" borderId="46" xfId="41" applyFont="1" applyFill="1" applyBorder="1"/>
    <xf numFmtId="11" fontId="29" fillId="0" borderId="46" xfId="42" applyNumberFormat="1" applyFont="1" applyFill="1" applyBorder="1" applyAlignment="1">
      <alignment wrapText="1"/>
    </xf>
    <xf numFmtId="11" fontId="29" fillId="0" borderId="46" xfId="41" applyNumberFormat="1" applyFont="1" applyFill="1" applyBorder="1"/>
    <xf numFmtId="0" fontId="29" fillId="0" borderId="46" xfId="41" applyNumberFormat="1" applyFont="1" applyFill="1" applyBorder="1"/>
    <xf numFmtId="170" fontId="29" fillId="0" borderId="46" xfId="36" applyNumberFormat="1" applyFont="1" applyFill="1" applyBorder="1"/>
    <xf numFmtId="170" fontId="34" fillId="0" borderId="46" xfId="43" applyFont="1" applyFill="1" applyBorder="1">
      <alignment vertical="center" wrapText="1"/>
    </xf>
    <xf numFmtId="11" fontId="4" fillId="0" borderId="46" xfId="39" applyNumberFormat="1" applyBorder="1"/>
    <xf numFmtId="0" fontId="29" fillId="0" borderId="46" xfId="39" applyFont="1" applyFill="1" applyBorder="1" applyAlignment="1" applyProtection="1">
      <alignment vertical="center" wrapText="1"/>
    </xf>
    <xf numFmtId="0" fontId="37" fillId="0" borderId="47" xfId="42" applyFont="1" applyBorder="1"/>
    <xf numFmtId="0" fontId="37" fillId="0" borderId="46" xfId="42" applyFont="1" applyBorder="1" applyAlignment="1">
      <alignment wrapText="1"/>
    </xf>
    <xf numFmtId="170" fontId="37" fillId="0" borderId="46" xfId="3" applyFont="1" applyFill="1" applyBorder="1"/>
    <xf numFmtId="0" fontId="37" fillId="0" borderId="46" xfId="42" applyFont="1" applyBorder="1"/>
    <xf numFmtId="0" fontId="37" fillId="0" borderId="47" xfId="42" applyFont="1" applyFill="1" applyBorder="1"/>
    <xf numFmtId="0" fontId="29" fillId="0" borderId="46" xfId="30" applyFont="1" applyFill="1" applyBorder="1" applyAlignment="1">
      <alignment wrapText="1"/>
    </xf>
    <xf numFmtId="175" fontId="37" fillId="0" borderId="46" xfId="42" applyNumberFormat="1" applyFont="1" applyFill="1" applyBorder="1"/>
    <xf numFmtId="0" fontId="34" fillId="0" borderId="3" xfId="9" applyFont="1" applyBorder="1" applyAlignment="1">
      <alignment wrapText="1"/>
    </xf>
    <xf numFmtId="0" fontId="34" fillId="0" borderId="3" xfId="30" applyFont="1" applyFill="1" applyBorder="1" applyAlignment="1">
      <alignment wrapText="1"/>
    </xf>
    <xf numFmtId="170" fontId="34" fillId="0" borderId="3" xfId="3" applyFont="1" applyFill="1" applyBorder="1" applyAlignment="1">
      <alignment wrapText="1"/>
    </xf>
    <xf numFmtId="170" fontId="34" fillId="0" borderId="3" xfId="3" applyNumberFormat="1" applyFont="1" applyFill="1" applyBorder="1" applyAlignment="1">
      <alignment wrapText="1"/>
    </xf>
    <xf numFmtId="0" fontId="34" fillId="0" borderId="3" xfId="9" applyFont="1" applyFill="1" applyBorder="1"/>
    <xf numFmtId="0" fontId="34" fillId="0" borderId="3" xfId="9" applyFont="1" applyFill="1" applyBorder="1" applyAlignment="1">
      <alignment wrapText="1"/>
    </xf>
    <xf numFmtId="170" fontId="34" fillId="0" borderId="3" xfId="3" applyFont="1" applyFill="1" applyBorder="1"/>
    <xf numFmtId="1" fontId="34" fillId="0" borderId="3" xfId="9" applyNumberFormat="1" applyFont="1" applyFill="1" applyBorder="1"/>
    <xf numFmtId="170" fontId="34" fillId="0" borderId="3" xfId="3" applyNumberFormat="1" applyFont="1" applyFill="1" applyBorder="1" applyAlignment="1"/>
    <xf numFmtId="0" fontId="42" fillId="0" borderId="17" xfId="0" applyFont="1" applyBorder="1"/>
    <xf numFmtId="0" fontId="42" fillId="0" borderId="18" xfId="0" applyFont="1" applyBorder="1"/>
    <xf numFmtId="0" fontId="42" fillId="0" borderId="19" xfId="0" applyFont="1" applyBorder="1"/>
    <xf numFmtId="0" fontId="39" fillId="8" borderId="16" xfId="0" applyFont="1" applyFill="1" applyBorder="1"/>
    <xf numFmtId="0" fontId="34" fillId="0" borderId="0" xfId="0" applyFont="1" applyBorder="1"/>
    <xf numFmtId="0" fontId="42" fillId="0" borderId="0" xfId="0" applyFont="1" applyBorder="1"/>
    <xf numFmtId="0" fontId="43" fillId="0" borderId="0" xfId="8" applyFont="1" applyBorder="1"/>
    <xf numFmtId="0" fontId="39" fillId="8" borderId="16" xfId="0" applyFont="1" applyFill="1" applyBorder="1" applyAlignment="1">
      <alignment horizontal="left"/>
    </xf>
    <xf numFmtId="0" fontId="34" fillId="0" borderId="16" xfId="0" applyFont="1" applyBorder="1" applyAlignment="1">
      <alignment horizontal="right"/>
    </xf>
    <xf numFmtId="165" fontId="34" fillId="0" borderId="16" xfId="7" applyNumberFormat="1" applyFont="1" applyBorder="1" applyAlignment="1" applyProtection="1"/>
    <xf numFmtId="0" fontId="42" fillId="0" borderId="20" xfId="0" applyFont="1" applyBorder="1"/>
    <xf numFmtId="0" fontId="42" fillId="0" borderId="0" xfId="0" applyFont="1"/>
    <xf numFmtId="37" fontId="34" fillId="0" borderId="16" xfId="7" applyNumberFormat="1" applyFont="1" applyBorder="1" applyAlignment="1" applyProtection="1"/>
    <xf numFmtId="0" fontId="39" fillId="8" borderId="2" xfId="0" applyFont="1" applyFill="1" applyBorder="1"/>
    <xf numFmtId="0" fontId="34" fillId="0" borderId="16" xfId="7" applyNumberFormat="1" applyFont="1" applyBorder="1" applyAlignment="1" applyProtection="1"/>
    <xf numFmtId="49" fontId="34" fillId="0" borderId="0" xfId="0" applyNumberFormat="1" applyFont="1" applyBorder="1" applyAlignment="1">
      <alignment horizontal="left"/>
    </xf>
    <xf numFmtId="0" fontId="39" fillId="0" borderId="26" xfId="0" applyFont="1" applyBorder="1"/>
    <xf numFmtId="0" fontId="39" fillId="0" borderId="4" xfId="0" applyFont="1" applyBorder="1"/>
    <xf numFmtId="0" fontId="39" fillId="8" borderId="27" xfId="0" applyFont="1" applyFill="1" applyBorder="1"/>
    <xf numFmtId="0" fontId="39" fillId="8" borderId="5" xfId="0" applyFont="1" applyFill="1" applyBorder="1"/>
    <xf numFmtId="0" fontId="39" fillId="8" borderId="3" xfId="0" applyFont="1" applyFill="1" applyBorder="1"/>
    <xf numFmtId="0" fontId="34" fillId="0" borderId="22" xfId="0" applyFont="1" applyBorder="1" applyAlignment="1"/>
    <xf numFmtId="0" fontId="34" fillId="0" borderId="3" xfId="9" applyFont="1" applyFill="1" applyBorder="1" applyAlignment="1" applyProtection="1">
      <alignment wrapText="1"/>
    </xf>
    <xf numFmtId="0" fontId="34" fillId="0" borderId="3" xfId="9" applyFont="1" applyFill="1" applyBorder="1" applyAlignment="1">
      <alignment horizontal="left" wrapText="1"/>
    </xf>
    <xf numFmtId="178" fontId="34" fillId="0" borderId="3" xfId="0" applyNumberFormat="1" applyFont="1" applyBorder="1" applyAlignment="1"/>
    <xf numFmtId="0" fontId="34" fillId="0" borderId="3" xfId="0" applyFont="1" applyBorder="1" applyAlignment="1"/>
    <xf numFmtId="164" fontId="34" fillId="0" borderId="3" xfId="7" applyNumberFormat="1" applyFont="1" applyBorder="1" applyAlignment="1" applyProtection="1"/>
    <xf numFmtId="11" fontId="34" fillId="0" borderId="3" xfId="0" applyNumberFormat="1" applyFont="1" applyBorder="1" applyAlignment="1"/>
    <xf numFmtId="11" fontId="34" fillId="0" borderId="16" xfId="7" applyNumberFormat="1" applyFont="1" applyBorder="1" applyAlignment="1" applyProtection="1"/>
    <xf numFmtId="164" fontId="34" fillId="0" borderId="16" xfId="7" applyNumberFormat="1" applyFont="1" applyBorder="1" applyAlignment="1" applyProtection="1"/>
    <xf numFmtId="0" fontId="42" fillId="0" borderId="16" xfId="0" applyFont="1" applyBorder="1" applyAlignment="1"/>
    <xf numFmtId="1" fontId="34" fillId="0" borderId="3" xfId="7" applyNumberFormat="1" applyFont="1" applyBorder="1" applyAlignment="1" applyProtection="1"/>
    <xf numFmtId="165" fontId="34" fillId="0" borderId="3" xfId="7" applyNumberFormat="1" applyFont="1" applyBorder="1" applyAlignment="1" applyProtection="1"/>
    <xf numFmtId="0" fontId="42" fillId="0" borderId="20" xfId="0" applyFont="1" applyBorder="1" applyAlignment="1"/>
    <xf numFmtId="0" fontId="39" fillId="0" borderId="21" xfId="0" applyFont="1" applyBorder="1"/>
    <xf numFmtId="0" fontId="39" fillId="0" borderId="0" xfId="0" applyFont="1" applyBorder="1"/>
    <xf numFmtId="0" fontId="39" fillId="8" borderId="3" xfId="0" applyFont="1" applyFill="1" applyBorder="1" applyAlignment="1">
      <alignment horizontal="right"/>
    </xf>
    <xf numFmtId="165" fontId="39" fillId="8" borderId="5" xfId="0" applyNumberFormat="1" applyFont="1" applyFill="1" applyBorder="1"/>
    <xf numFmtId="0" fontId="42" fillId="0" borderId="21" xfId="0" applyFont="1" applyBorder="1"/>
    <xf numFmtId="0" fontId="39" fillId="8" borderId="22" xfId="0" applyFont="1" applyFill="1" applyBorder="1"/>
    <xf numFmtId="177" fontId="34" fillId="0" borderId="3" xfId="9" applyNumberFormat="1" applyFont="1" applyFill="1" applyBorder="1" applyAlignment="1">
      <alignment horizontal="right" wrapText="1"/>
    </xf>
    <xf numFmtId="0" fontId="42" fillId="0" borderId="0" xfId="0" applyFont="1" applyBorder="1" applyAlignment="1">
      <alignment wrapText="1"/>
    </xf>
    <xf numFmtId="0" fontId="42" fillId="0" borderId="20" xfId="0" applyFont="1" applyBorder="1" applyAlignment="1">
      <alignment wrapText="1"/>
    </xf>
    <xf numFmtId="0" fontId="39" fillId="8" borderId="5" xfId="0" applyFont="1" applyFill="1" applyBorder="1" applyAlignment="1">
      <alignment horizontal="right"/>
    </xf>
    <xf numFmtId="0" fontId="42" fillId="0" borderId="23" xfId="0" applyFont="1" applyBorder="1"/>
    <xf numFmtId="0" fontId="42" fillId="0" borderId="24" xfId="0" applyFont="1" applyBorder="1"/>
    <xf numFmtId="0" fontId="42" fillId="0" borderId="25" xfId="0" applyFont="1" applyBorder="1"/>
    <xf numFmtId="0" fontId="43" fillId="0" borderId="0" xfId="8" applyFont="1"/>
    <xf numFmtId="0" fontId="34" fillId="0" borderId="0" xfId="0" applyFont="1" applyBorder="1" applyAlignment="1">
      <alignment horizontal="left"/>
    </xf>
    <xf numFmtId="0" fontId="42" fillId="0" borderId="3" xfId="0" applyFont="1" applyBorder="1"/>
    <xf numFmtId="0" fontId="34" fillId="13" borderId="3" xfId="9" applyFont="1" applyFill="1" applyBorder="1"/>
    <xf numFmtId="170" fontId="34" fillId="13" borderId="3" xfId="9" applyNumberFormat="1" applyFont="1" applyFill="1" applyBorder="1"/>
    <xf numFmtId="181" fontId="34" fillId="0" borderId="16" xfId="7" applyNumberFormat="1" applyFont="1" applyBorder="1" applyAlignment="1" applyProtection="1"/>
    <xf numFmtId="0" fontId="34" fillId="0" borderId="16" xfId="0" applyFont="1" applyBorder="1"/>
    <xf numFmtId="0" fontId="34" fillId="0" borderId="3" xfId="9" applyFont="1" applyFill="1" applyBorder="1" applyAlignment="1"/>
    <xf numFmtId="0" fontId="34" fillId="0" borderId="3" xfId="9" applyFont="1" applyFill="1" applyBorder="1" applyAlignment="1" applyProtection="1"/>
    <xf numFmtId="170" fontId="34" fillId="0" borderId="3" xfId="3" applyFont="1" applyFill="1" applyBorder="1" applyAlignment="1"/>
    <xf numFmtId="0" fontId="34" fillId="0" borderId="3" xfId="9" applyNumberFormat="1" applyFont="1" applyFill="1" applyBorder="1" applyAlignment="1"/>
    <xf numFmtId="171" fontId="34" fillId="0" borderId="3" xfId="35" applyFont="1" applyFill="1" applyBorder="1" applyAlignment="1"/>
    <xf numFmtId="11" fontId="34" fillId="0" borderId="3" xfId="9" applyNumberFormat="1" applyFont="1" applyFill="1" applyBorder="1" applyAlignment="1">
      <alignment wrapText="1"/>
    </xf>
    <xf numFmtId="11" fontId="34" fillId="0" borderId="3" xfId="37" applyNumberFormat="1" applyFont="1" applyFill="1" applyBorder="1" applyAlignment="1"/>
    <xf numFmtId="180" fontId="34" fillId="0" borderId="3" xfId="35" applyNumberFormat="1" applyFont="1" applyFill="1" applyBorder="1" applyAlignment="1"/>
    <xf numFmtId="2" fontId="34" fillId="0" borderId="3" xfId="35" applyNumberFormat="1" applyFont="1" applyFill="1" applyBorder="1" applyAlignment="1"/>
    <xf numFmtId="0" fontId="34" fillId="0" borderId="3" xfId="9" applyNumberFormat="1" applyFont="1" applyFill="1" applyBorder="1"/>
    <xf numFmtId="170" fontId="34" fillId="0" borderId="3" xfId="36" applyFont="1" applyFill="1" applyBorder="1"/>
    <xf numFmtId="170" fontId="34" fillId="0" borderId="3" xfId="36" applyNumberFormat="1" applyFont="1" applyFill="1" applyBorder="1"/>
    <xf numFmtId="3" fontId="34" fillId="0" borderId="3" xfId="9" applyNumberFormat="1" applyFont="1" applyBorder="1" applyAlignment="1"/>
    <xf numFmtId="0" fontId="34" fillId="0" borderId="20" xfId="9" applyFont="1" applyBorder="1" applyAlignment="1"/>
    <xf numFmtId="0" fontId="44" fillId="0" borderId="0" xfId="39" applyFont="1" applyBorder="1"/>
    <xf numFmtId="0" fontId="44" fillId="0" borderId="0" xfId="39" applyFont="1" applyBorder="1" applyAlignment="1">
      <alignment horizontal="right"/>
    </xf>
    <xf numFmtId="0" fontId="45" fillId="16" borderId="46" xfId="39" applyFont="1" applyFill="1" applyBorder="1"/>
    <xf numFmtId="170" fontId="44" fillId="0" borderId="0" xfId="39" applyNumberFormat="1" applyFont="1" applyBorder="1"/>
    <xf numFmtId="37" fontId="44" fillId="0" borderId="0" xfId="39" applyNumberFormat="1" applyFont="1" applyBorder="1"/>
    <xf numFmtId="0" fontId="44" fillId="0" borderId="44" xfId="39" applyFont="1" applyBorder="1"/>
    <xf numFmtId="0" fontId="45" fillId="16" borderId="47" xfId="39" applyFont="1" applyFill="1" applyBorder="1"/>
    <xf numFmtId="0" fontId="45" fillId="16" borderId="38" xfId="39" applyFont="1" applyFill="1" applyBorder="1"/>
    <xf numFmtId="170" fontId="44" fillId="0" borderId="46" xfId="43" applyFont="1" applyFill="1" applyBorder="1">
      <alignment vertical="center" wrapText="1"/>
    </xf>
    <xf numFmtId="11" fontId="40" fillId="0" borderId="46" xfId="39" applyNumberFormat="1" applyFont="1" applyBorder="1"/>
    <xf numFmtId="0" fontId="45" fillId="0" borderId="44" xfId="39" applyFont="1" applyBorder="1"/>
    <xf numFmtId="0" fontId="45" fillId="0" borderId="0" xfId="39" applyFont="1" applyBorder="1"/>
    <xf numFmtId="0" fontId="45" fillId="16" borderId="5" xfId="39" applyFont="1" applyFill="1" applyBorder="1" applyAlignment="1">
      <alignment horizontal="right"/>
    </xf>
    <xf numFmtId="0" fontId="46" fillId="0" borderId="40" xfId="0" applyFont="1" applyBorder="1"/>
    <xf numFmtId="0" fontId="46" fillId="0" borderId="41" xfId="0" applyFont="1" applyBorder="1"/>
    <xf numFmtId="0" fontId="46" fillId="0" borderId="42" xfId="0" applyFont="1" applyBorder="1"/>
    <xf numFmtId="0" fontId="45" fillId="8" borderId="51" xfId="0" applyFont="1" applyFill="1" applyBorder="1"/>
    <xf numFmtId="0" fontId="44" fillId="0" borderId="0" xfId="0" applyFont="1" applyBorder="1"/>
    <xf numFmtId="0" fontId="45" fillId="8" borderId="16" xfId="0" applyFont="1" applyFill="1" applyBorder="1"/>
    <xf numFmtId="0" fontId="46" fillId="0" borderId="43" xfId="0" applyFont="1" applyBorder="1"/>
    <xf numFmtId="0" fontId="47" fillId="0" borderId="0" xfId="8" applyFont="1" applyBorder="1"/>
    <xf numFmtId="0" fontId="44" fillId="0" borderId="16" xfId="0" applyFont="1" applyBorder="1"/>
    <xf numFmtId="49" fontId="44" fillId="0" borderId="0" xfId="0" applyNumberFormat="1" applyFont="1" applyBorder="1" applyAlignment="1">
      <alignment horizontal="left"/>
    </xf>
    <xf numFmtId="0" fontId="44" fillId="0" borderId="47" xfId="42" applyFont="1" applyFill="1" applyBorder="1"/>
    <xf numFmtId="0" fontId="44" fillId="0" borderId="46" xfId="42" applyFont="1" applyFill="1" applyBorder="1" applyAlignment="1" applyProtection="1">
      <alignment wrapText="1"/>
    </xf>
    <xf numFmtId="0" fontId="44" fillId="0" borderId="46" xfId="42" applyFont="1" applyFill="1" applyBorder="1" applyAlignment="1">
      <alignment horizontal="left"/>
    </xf>
    <xf numFmtId="170" fontId="44" fillId="0" borderId="46" xfId="3" applyFont="1" applyFill="1" applyBorder="1"/>
    <xf numFmtId="177" fontId="44" fillId="0" borderId="46" xfId="42" applyNumberFormat="1" applyFont="1" applyFill="1" applyBorder="1"/>
    <xf numFmtId="0" fontId="44" fillId="0" borderId="46" xfId="42" applyFont="1" applyFill="1" applyBorder="1"/>
    <xf numFmtId="43" fontId="44" fillId="0" borderId="46" xfId="41" applyFont="1" applyFill="1" applyBorder="1"/>
    <xf numFmtId="11" fontId="44" fillId="0" borderId="46" xfId="42" applyNumberFormat="1" applyFont="1" applyFill="1" applyBorder="1" applyAlignment="1">
      <alignment wrapText="1"/>
    </xf>
    <xf numFmtId="11" fontId="44" fillId="0" borderId="46" xfId="41" applyNumberFormat="1" applyFont="1" applyFill="1" applyBorder="1"/>
    <xf numFmtId="0" fontId="44" fillId="0" borderId="46" xfId="41" applyNumberFormat="1" applyFont="1" applyFill="1" applyBorder="1"/>
    <xf numFmtId="170" fontId="44" fillId="0" borderId="46" xfId="36" applyNumberFormat="1" applyFont="1" applyFill="1" applyBorder="1"/>
    <xf numFmtId="0" fontId="44" fillId="0" borderId="46" xfId="39" applyFont="1" applyFill="1" applyBorder="1" applyAlignment="1" applyProtection="1">
      <alignment vertical="center" wrapText="1"/>
    </xf>
    <xf numFmtId="0" fontId="40" fillId="0" borderId="47" xfId="42" applyFont="1" applyBorder="1"/>
    <xf numFmtId="0" fontId="40" fillId="0" borderId="46" xfId="30" applyFont="1" applyFill="1" applyBorder="1" applyAlignment="1">
      <alignment wrapText="1"/>
    </xf>
    <xf numFmtId="0" fontId="40" fillId="0" borderId="46" xfId="42" applyFont="1" applyBorder="1" applyAlignment="1">
      <alignment wrapText="1"/>
    </xf>
    <xf numFmtId="170" fontId="40" fillId="0" borderId="46" xfId="3" applyFont="1" applyFill="1" applyBorder="1"/>
    <xf numFmtId="0" fontId="40" fillId="0" borderId="46" xfId="42" applyFont="1" applyBorder="1"/>
    <xf numFmtId="170" fontId="44" fillId="0" borderId="46" xfId="3" applyNumberFormat="1" applyFont="1" applyFill="1" applyBorder="1" applyAlignment="1"/>
    <xf numFmtId="0" fontId="40" fillId="0" borderId="47" xfId="42" applyFont="1" applyFill="1" applyBorder="1"/>
    <xf numFmtId="0" fontId="40" fillId="0" borderId="45" xfId="30" applyFont="1" applyFill="1" applyBorder="1" applyAlignment="1">
      <alignment wrapText="1"/>
    </xf>
    <xf numFmtId="175" fontId="40" fillId="0" borderId="46" xfId="42" applyNumberFormat="1" applyFont="1" applyFill="1" applyBorder="1"/>
    <xf numFmtId="0" fontId="44" fillId="0" borderId="46" xfId="30" applyFont="1" applyFill="1" applyBorder="1" applyAlignment="1">
      <alignment wrapText="1"/>
    </xf>
    <xf numFmtId="0" fontId="40" fillId="13" borderId="46" xfId="42" applyFont="1" applyFill="1" applyBorder="1"/>
    <xf numFmtId="170" fontId="40" fillId="13" borderId="46" xfId="42" applyNumberFormat="1" applyFont="1" applyFill="1" applyBorder="1"/>
    <xf numFmtId="170" fontId="40" fillId="0" borderId="46" xfId="3" applyNumberFormat="1" applyFont="1" applyFill="1" applyBorder="1" applyAlignment="1"/>
    <xf numFmtId="11" fontId="40" fillId="0" borderId="46" xfId="42" applyNumberFormat="1" applyFont="1" applyBorder="1"/>
    <xf numFmtId="0" fontId="40" fillId="0" borderId="0" xfId="0" applyFont="1" applyBorder="1"/>
    <xf numFmtId="0" fontId="46" fillId="0" borderId="0" xfId="0" applyFont="1" applyBorder="1"/>
    <xf numFmtId="0" fontId="46" fillId="0" borderId="48" xfId="0" applyFont="1" applyBorder="1"/>
    <xf numFmtId="0" fontId="46" fillId="0" borderId="49" xfId="0" applyFont="1" applyBorder="1"/>
    <xf numFmtId="0" fontId="46" fillId="0" borderId="50" xfId="0" applyFont="1" applyBorder="1"/>
    <xf numFmtId="0" fontId="26" fillId="0" borderId="33" xfId="8" applyNumberFormat="1" applyBorder="1" applyAlignment="1" applyProtection="1"/>
    <xf numFmtId="0" fontId="26" fillId="0" borderId="46" xfId="8" applyNumberFormat="1" applyBorder="1" applyAlignment="1" applyProtection="1"/>
    <xf numFmtId="0" fontId="12" fillId="0" borderId="46" xfId="0" applyFont="1" applyFill="1" applyBorder="1"/>
    <xf numFmtId="165" fontId="12" fillId="0" borderId="35" xfId="7" applyNumberFormat="1" applyFont="1" applyBorder="1" applyAlignment="1" applyProtection="1"/>
    <xf numFmtId="165" fontId="12" fillId="0" borderId="52" xfId="7" applyNumberFormat="1" applyFont="1" applyBorder="1" applyAlignment="1" applyProtection="1"/>
    <xf numFmtId="0" fontId="19" fillId="10" borderId="46" xfId="1" applyFont="1" applyFill="1" applyBorder="1" applyProtection="1">
      <protection locked="0"/>
    </xf>
    <xf numFmtId="18" fontId="19" fillId="10" borderId="46" xfId="1" applyNumberFormat="1" applyFont="1" applyFill="1" applyBorder="1" applyAlignment="1" applyProtection="1">
      <protection locked="0"/>
    </xf>
    <xf numFmtId="0" fontId="26" fillId="10" borderId="46" xfId="8" applyFill="1" applyBorder="1" applyAlignment="1">
      <alignment horizontal="left"/>
    </xf>
    <xf numFmtId="0" fontId="19" fillId="10" borderId="46" xfId="1" applyFont="1" applyFill="1" applyBorder="1" applyAlignment="1">
      <alignment horizontal="center"/>
    </xf>
    <xf numFmtId="0" fontId="39" fillId="7" borderId="16" xfId="0" applyFont="1" applyFill="1" applyBorder="1"/>
    <xf numFmtId="172" fontId="34" fillId="0" borderId="16" xfId="7" applyNumberFormat="1" applyFont="1" applyBorder="1" applyAlignment="1" applyProtection="1"/>
    <xf numFmtId="0" fontId="39" fillId="7" borderId="0" xfId="0" applyFont="1" applyFill="1" applyBorder="1"/>
    <xf numFmtId="0" fontId="43" fillId="0" borderId="16" xfId="8" applyNumberFormat="1" applyFont="1" applyBorder="1" applyAlignment="1" applyProtection="1"/>
    <xf numFmtId="0" fontId="34" fillId="0" borderId="16" xfId="0" applyNumberFormat="1" applyFont="1" applyBorder="1"/>
    <xf numFmtId="0" fontId="34" fillId="0" borderId="20" xfId="7" applyNumberFormat="1" applyFont="1" applyBorder="1" applyAlignment="1"/>
    <xf numFmtId="0" fontId="34" fillId="0" borderId="46" xfId="0" applyFont="1" applyFill="1" applyBorder="1"/>
    <xf numFmtId="0" fontId="34" fillId="0" borderId="33" xfId="0" applyFont="1" applyBorder="1"/>
    <xf numFmtId="0" fontId="39" fillId="7" borderId="16" xfId="0" applyFont="1" applyFill="1" applyBorder="1" applyAlignment="1">
      <alignment horizontal="right"/>
    </xf>
    <xf numFmtId="165" fontId="39" fillId="7" borderId="16" xfId="0" applyNumberFormat="1" applyFont="1" applyFill="1" applyBorder="1"/>
    <xf numFmtId="165" fontId="34" fillId="0" borderId="33" xfId="7" applyNumberFormat="1" applyFont="1" applyBorder="1" applyAlignment="1" applyProtection="1"/>
    <xf numFmtId="0" fontId="42" fillId="0" borderId="16" xfId="7" applyNumberFormat="1" applyFont="1" applyBorder="1" applyAlignment="1">
      <alignment wrapText="1"/>
    </xf>
    <xf numFmtId="0" fontId="42" fillId="0" borderId="16" xfId="0" applyFont="1" applyBorder="1"/>
    <xf numFmtId="0" fontId="39" fillId="7" borderId="33" xfId="0" applyFont="1" applyFill="1" applyBorder="1"/>
    <xf numFmtId="0" fontId="39" fillId="7" borderId="34" xfId="0" applyFont="1" applyFill="1" applyBorder="1"/>
    <xf numFmtId="165" fontId="39" fillId="7" borderId="34" xfId="0" applyNumberFormat="1" applyFont="1" applyFill="1" applyBorder="1"/>
    <xf numFmtId="0" fontId="34" fillId="0" borderId="46" xfId="0" applyFont="1" applyBorder="1"/>
    <xf numFmtId="170" fontId="34" fillId="0" borderId="46" xfId="11" applyFont="1" applyFill="1" applyBorder="1">
      <alignment vertical="center" wrapText="1"/>
    </xf>
    <xf numFmtId="164" fontId="34" fillId="0" borderId="46" xfId="7" applyNumberFormat="1" applyFont="1" applyBorder="1" applyAlignment="1" applyProtection="1"/>
    <xf numFmtId="11" fontId="34" fillId="0" borderId="46" xfId="0" applyNumberFormat="1" applyFont="1" applyBorder="1"/>
    <xf numFmtId="167" fontId="34" fillId="0" borderId="46" xfId="7" applyNumberFormat="1" applyFont="1" applyBorder="1" applyAlignment="1" applyProtection="1"/>
    <xf numFmtId="169" fontId="34" fillId="0" borderId="46" xfId="7" applyNumberFormat="1" applyFont="1" applyBorder="1" applyAlignment="1" applyProtection="1"/>
    <xf numFmtId="165" fontId="34" fillId="0" borderId="46" xfId="7" applyNumberFormat="1" applyFont="1" applyBorder="1" applyAlignment="1" applyProtection="1"/>
    <xf numFmtId="0" fontId="34" fillId="0" borderId="46" xfId="31" applyFont="1" applyFill="1" applyBorder="1"/>
    <xf numFmtId="0" fontId="34" fillId="0" borderId="46" xfId="31" applyFont="1" applyFill="1" applyBorder="1" applyAlignment="1">
      <alignment wrapText="1"/>
    </xf>
    <xf numFmtId="0" fontId="34" fillId="0" borderId="46" xfId="0" applyFont="1" applyBorder="1" applyAlignment="1"/>
    <xf numFmtId="11" fontId="34" fillId="0" borderId="46" xfId="0" applyNumberFormat="1" applyFont="1" applyBorder="1" applyAlignment="1"/>
    <xf numFmtId="173" fontId="34" fillId="0" borderId="46" xfId="7" applyNumberFormat="1" applyFont="1" applyBorder="1" applyAlignment="1" applyProtection="1"/>
    <xf numFmtId="168" fontId="34" fillId="0" borderId="46" xfId="7" applyNumberFormat="1" applyFont="1" applyBorder="1" applyAlignment="1" applyProtection="1"/>
    <xf numFmtId="0" fontId="42" fillId="0" borderId="46" xfId="0" applyFont="1" applyBorder="1" applyAlignment="1"/>
    <xf numFmtId="2" fontId="34" fillId="0" borderId="46" xfId="7" applyNumberFormat="1" applyFont="1" applyBorder="1" applyAlignment="1" applyProtection="1"/>
    <xf numFmtId="0" fontId="43" fillId="0" borderId="33" xfId="8" applyNumberFormat="1" applyFont="1" applyBorder="1" applyAlignment="1" applyProtection="1"/>
    <xf numFmtId="0" fontId="34" fillId="0" borderId="33" xfId="0" applyNumberFormat="1" applyFont="1" applyBorder="1"/>
    <xf numFmtId="0" fontId="39" fillId="7" borderId="34" xfId="0" applyFont="1" applyFill="1" applyBorder="1" applyAlignment="1">
      <alignment horizontal="right"/>
    </xf>
    <xf numFmtId="0" fontId="29" fillId="0" borderId="46" xfId="42" applyFont="1" applyFill="1" applyBorder="1" applyAlignment="1"/>
    <xf numFmtId="0" fontId="29" fillId="0" borderId="46" xfId="42" applyFont="1" applyFill="1" applyBorder="1" applyAlignment="1" applyProtection="1"/>
    <xf numFmtId="170" fontId="29" fillId="0" borderId="46" xfId="3" applyFont="1" applyFill="1" applyBorder="1" applyAlignment="1"/>
    <xf numFmtId="0" fontId="29" fillId="0" borderId="46" xfId="42" applyNumberFormat="1" applyFont="1" applyFill="1" applyBorder="1" applyAlignment="1"/>
    <xf numFmtId="171" fontId="29" fillId="0" borderId="46" xfId="35" applyFont="1" applyFill="1" applyBorder="1" applyAlignment="1"/>
    <xf numFmtId="0" fontId="13" fillId="0" borderId="46" xfId="42" applyBorder="1" applyAlignment="1">
      <alignment wrapText="1"/>
    </xf>
    <xf numFmtId="0" fontId="29" fillId="0" borderId="46" xfId="42" applyFont="1" applyBorder="1" applyAlignment="1">
      <alignment wrapText="1"/>
    </xf>
    <xf numFmtId="170" fontId="29" fillId="0" borderId="46" xfId="3" applyFont="1" applyFill="1" applyBorder="1" applyAlignment="1">
      <alignment wrapText="1"/>
    </xf>
    <xf numFmtId="170" fontId="29" fillId="0" borderId="46" xfId="3" applyNumberFormat="1" applyFont="1" applyFill="1" applyBorder="1" applyAlignment="1">
      <alignment wrapText="1"/>
    </xf>
    <xf numFmtId="0" fontId="29" fillId="0" borderId="46" xfId="42" applyFont="1" applyFill="1" applyBorder="1" applyAlignment="1">
      <alignment wrapText="1"/>
    </xf>
    <xf numFmtId="0" fontId="29" fillId="0" borderId="46" xfId="42" applyFont="1" applyBorder="1"/>
    <xf numFmtId="0" fontId="13" fillId="0" borderId="0" xfId="42" applyBorder="1" applyAlignment="1">
      <alignment wrapText="1"/>
    </xf>
    <xf numFmtId="0" fontId="13" fillId="0" borderId="20" xfId="42" applyBorder="1" applyAlignment="1">
      <alignment wrapText="1"/>
    </xf>
    <xf numFmtId="0" fontId="13" fillId="0" borderId="0" xfId="42"/>
    <xf numFmtId="0" fontId="13" fillId="0" borderId="0" xfId="42" applyBorder="1"/>
    <xf numFmtId="0" fontId="13" fillId="0" borderId="20" xfId="42" applyBorder="1"/>
    <xf numFmtId="0" fontId="13" fillId="0" borderId="0" xfId="42" applyFont="1" applyBorder="1"/>
    <xf numFmtId="0" fontId="13" fillId="0" borderId="20" xfId="42" applyFont="1" applyBorder="1"/>
    <xf numFmtId="0" fontId="11" fillId="0" borderId="0" xfId="42" applyFont="1" applyBorder="1"/>
    <xf numFmtId="0" fontId="13" fillId="13" borderId="0" xfId="42" applyFill="1" applyBorder="1"/>
    <xf numFmtId="2" fontId="29" fillId="0" borderId="3" xfId="9" applyNumberFormat="1" applyFont="1" applyFill="1" applyBorder="1" applyAlignment="1">
      <alignment horizontal="right" wrapText="1"/>
    </xf>
    <xf numFmtId="0" fontId="46" fillId="0" borderId="17" xfId="0" applyFont="1" applyBorder="1"/>
    <xf numFmtId="0" fontId="46" fillId="0" borderId="18" xfId="0" applyFont="1" applyBorder="1"/>
    <xf numFmtId="0" fontId="46" fillId="0" borderId="19" xfId="0" applyFont="1" applyBorder="1"/>
    <xf numFmtId="0" fontId="45" fillId="8" borderId="16" xfId="0" applyFont="1" applyFill="1" applyBorder="1" applyAlignment="1">
      <alignment horizontal="left"/>
    </xf>
    <xf numFmtId="0" fontId="44" fillId="0" borderId="16" xfId="0" applyFont="1" applyBorder="1" applyAlignment="1">
      <alignment horizontal="right"/>
    </xf>
    <xf numFmtId="165" fontId="44" fillId="0" borderId="16" xfId="7" applyNumberFormat="1" applyFont="1" applyBorder="1" applyAlignment="1" applyProtection="1"/>
    <xf numFmtId="0" fontId="46" fillId="0" borderId="20" xfId="0" applyFont="1" applyBorder="1"/>
    <xf numFmtId="0" fontId="47" fillId="0" borderId="0" xfId="8" applyFont="1"/>
    <xf numFmtId="37" fontId="44" fillId="0" borderId="16" xfId="7" applyNumberFormat="1" applyFont="1" applyBorder="1" applyAlignment="1" applyProtection="1"/>
    <xf numFmtId="0" fontId="45" fillId="8" borderId="2" xfId="0" applyFont="1" applyFill="1" applyBorder="1"/>
    <xf numFmtId="0" fontId="44" fillId="0" borderId="0" xfId="0" applyFont="1" applyBorder="1" applyAlignment="1">
      <alignment horizontal="left"/>
    </xf>
    <xf numFmtId="0" fontId="45" fillId="0" borderId="26" xfId="0" applyFont="1" applyBorder="1"/>
    <xf numFmtId="0" fontId="45" fillId="0" borderId="4" xfId="0" applyFont="1" applyBorder="1"/>
    <xf numFmtId="0" fontId="45" fillId="8" borderId="27" xfId="0" applyFont="1" applyFill="1" applyBorder="1"/>
    <xf numFmtId="0" fontId="45" fillId="8" borderId="5" xfId="0" applyFont="1" applyFill="1" applyBorder="1"/>
    <xf numFmtId="0" fontId="45" fillId="8" borderId="3" xfId="0" applyFont="1" applyFill="1" applyBorder="1"/>
    <xf numFmtId="0" fontId="44" fillId="0" borderId="22" xfId="0" applyFont="1" applyBorder="1" applyAlignment="1"/>
    <xf numFmtId="0" fontId="46" fillId="0" borderId="3" xfId="0" applyFont="1" applyBorder="1"/>
    <xf numFmtId="0" fontId="44" fillId="0" borderId="3" xfId="0" applyFont="1" applyBorder="1" applyAlignment="1"/>
    <xf numFmtId="165" fontId="44" fillId="0" borderId="3" xfId="7" applyNumberFormat="1" applyFont="1" applyBorder="1" applyAlignment="1" applyProtection="1"/>
    <xf numFmtId="176" fontId="44" fillId="0" borderId="3" xfId="0" applyNumberFormat="1" applyFont="1" applyBorder="1" applyAlignment="1"/>
    <xf numFmtId="164" fontId="44" fillId="0" borderId="3" xfId="7" applyNumberFormat="1" applyFont="1" applyBorder="1" applyAlignment="1" applyProtection="1"/>
    <xf numFmtId="11" fontId="44" fillId="0" borderId="3" xfId="0" applyNumberFormat="1" applyFont="1" applyBorder="1" applyAlignment="1"/>
    <xf numFmtId="0" fontId="46" fillId="0" borderId="16" xfId="0" applyFont="1" applyBorder="1" applyAlignment="1"/>
    <xf numFmtId="1" fontId="44" fillId="0" borderId="3" xfId="7" applyNumberFormat="1" applyFont="1" applyBorder="1" applyAlignment="1" applyProtection="1"/>
    <xf numFmtId="0" fontId="46" fillId="0" borderId="20" xfId="0" applyFont="1" applyBorder="1" applyAlignment="1"/>
    <xf numFmtId="0" fontId="45" fillId="0" borderId="21" xfId="0" applyFont="1" applyBorder="1"/>
    <xf numFmtId="0" fontId="45" fillId="0" borderId="0" xfId="0" applyFont="1" applyBorder="1"/>
    <xf numFmtId="0" fontId="45" fillId="8" borderId="3" xfId="0" applyFont="1" applyFill="1" applyBorder="1" applyAlignment="1">
      <alignment horizontal="right"/>
    </xf>
    <xf numFmtId="165" fontId="45" fillId="8" borderId="5" xfId="0" applyNumberFormat="1" applyFont="1" applyFill="1" applyBorder="1"/>
    <xf numFmtId="0" fontId="46" fillId="0" borderId="21" xfId="0" applyFont="1" applyBorder="1"/>
    <xf numFmtId="0" fontId="45" fillId="8" borderId="22" xfId="0" applyFont="1" applyFill="1" applyBorder="1"/>
    <xf numFmtId="0" fontId="45" fillId="8" borderId="5" xfId="0" applyFont="1" applyFill="1" applyBorder="1" applyAlignment="1">
      <alignment horizontal="right"/>
    </xf>
    <xf numFmtId="0" fontId="46" fillId="0" borderId="23" xfId="0" applyFont="1" applyBorder="1"/>
    <xf numFmtId="0" fontId="46" fillId="0" borderId="24" xfId="0" applyFont="1" applyBorder="1"/>
    <xf numFmtId="0" fontId="46" fillId="0" borderId="25" xfId="0" applyFont="1" applyBorder="1"/>
    <xf numFmtId="0" fontId="29" fillId="0" borderId="46" xfId="42" applyFont="1" applyFill="1" applyBorder="1" applyAlignment="1">
      <alignment horizontal="left" wrapText="1"/>
    </xf>
    <xf numFmtId="170" fontId="29" fillId="0" borderId="46" xfId="36" applyFont="1" applyFill="1" applyBorder="1"/>
    <xf numFmtId="0" fontId="40" fillId="0" borderId="46" xfId="39" applyFont="1" applyBorder="1" applyAlignment="1">
      <alignment wrapText="1"/>
    </xf>
    <xf numFmtId="0" fontId="26" fillId="0" borderId="46" xfId="8" applyBorder="1"/>
    <xf numFmtId="0" fontId="12" fillId="0" borderId="33" xfId="0" applyFont="1" applyBorder="1" applyAlignment="1"/>
    <xf numFmtId="11" fontId="12" fillId="0" borderId="33" xfId="0" applyNumberFormat="1" applyFont="1" applyBorder="1" applyAlignment="1"/>
    <xf numFmtId="173" fontId="12" fillId="0" borderId="33" xfId="7" applyNumberFormat="1" applyFont="1" applyBorder="1" applyAlignment="1" applyProtection="1"/>
    <xf numFmtId="168" fontId="12" fillId="0" borderId="33" xfId="7" applyNumberFormat="1" applyFont="1" applyBorder="1" applyAlignment="1" applyProtection="1"/>
    <xf numFmtId="165" fontId="11" fillId="7" borderId="5" xfId="0" applyNumberFormat="1" applyFont="1" applyFill="1" applyBorder="1"/>
    <xf numFmtId="0" fontId="12" fillId="0" borderId="46" xfId="0" applyFont="1" applyBorder="1"/>
    <xf numFmtId="0" fontId="29" fillId="0" borderId="46" xfId="31" applyFont="1" applyFill="1" applyBorder="1"/>
    <xf numFmtId="0" fontId="29" fillId="0" borderId="46" xfId="31" applyFont="1" applyFill="1" applyBorder="1" applyAlignment="1">
      <alignment wrapText="1"/>
    </xf>
    <xf numFmtId="165" fontId="12" fillId="0" borderId="46" xfId="7" applyNumberFormat="1" applyFont="1" applyBorder="1" applyAlignment="1" applyProtection="1"/>
    <xf numFmtId="164" fontId="12" fillId="0" borderId="46" xfId="7" applyNumberFormat="1" applyFont="1" applyBorder="1" applyAlignment="1" applyProtection="1"/>
    <xf numFmtId="2" fontId="12" fillId="0" borderId="46" xfId="7" applyNumberFormat="1" applyFont="1" applyBorder="1" applyAlignment="1" applyProtection="1"/>
    <xf numFmtId="169" fontId="12" fillId="0" borderId="46" xfId="7" applyNumberFormat="1" applyFont="1" applyBorder="1" applyAlignment="1" applyProtection="1"/>
    <xf numFmtId="0" fontId="0" fillId="0" borderId="46" xfId="0" applyBorder="1" applyAlignment="1"/>
    <xf numFmtId="185" fontId="12" fillId="0" borderId="16" xfId="7" applyNumberFormat="1" applyFont="1" applyBorder="1" applyAlignment="1" applyProtection="1"/>
    <xf numFmtId="0" fontId="40" fillId="0" borderId="17" xfId="33" applyFont="1" applyBorder="1"/>
    <xf numFmtId="0" fontId="40" fillId="0" borderId="18" xfId="33" applyFont="1" applyBorder="1"/>
    <xf numFmtId="0" fontId="40" fillId="0" borderId="19" xfId="33" applyFont="1" applyBorder="1"/>
    <xf numFmtId="0" fontId="41" fillId="8" borderId="16" xfId="33" applyFont="1" applyFill="1" applyBorder="1"/>
    <xf numFmtId="0" fontId="40" fillId="0" borderId="0" xfId="33" applyFont="1" applyBorder="1"/>
    <xf numFmtId="0" fontId="48" fillId="0" borderId="0" xfId="8" applyFont="1" applyBorder="1"/>
    <xf numFmtId="0" fontId="41" fillId="8" borderId="16" xfId="33" applyFont="1" applyFill="1" applyBorder="1" applyAlignment="1">
      <alignment horizontal="left"/>
    </xf>
    <xf numFmtId="0" fontId="40" fillId="0" borderId="16" xfId="33" applyFont="1" applyBorder="1" applyAlignment="1">
      <alignment horizontal="right"/>
    </xf>
    <xf numFmtId="165" fontId="40" fillId="0" borderId="16" xfId="7" applyNumberFormat="1" applyFont="1" applyBorder="1" applyAlignment="1" applyProtection="1"/>
    <xf numFmtId="0" fontId="40" fillId="0" borderId="20" xfId="33" applyFont="1" applyBorder="1"/>
    <xf numFmtId="0" fontId="48" fillId="0" borderId="0" xfId="8" applyFont="1"/>
    <xf numFmtId="37" fontId="40" fillId="0" borderId="16" xfId="7" applyNumberFormat="1" applyFont="1" applyBorder="1" applyAlignment="1" applyProtection="1"/>
    <xf numFmtId="0" fontId="41" fillId="8" borderId="2" xfId="33" applyFont="1" applyFill="1" applyBorder="1"/>
    <xf numFmtId="0" fontId="40" fillId="0" borderId="0" xfId="33" applyFont="1" applyBorder="1" applyAlignment="1">
      <alignment horizontal="left"/>
    </xf>
    <xf numFmtId="49" fontId="40" fillId="0" borderId="0" xfId="33" applyNumberFormat="1" applyFont="1" applyBorder="1" applyAlignment="1">
      <alignment horizontal="left"/>
    </xf>
    <xf numFmtId="0" fontId="41" fillId="0" borderId="26" xfId="33" applyFont="1" applyBorder="1"/>
    <xf numFmtId="0" fontId="41" fillId="0" borderId="4" xfId="33" applyFont="1" applyBorder="1"/>
    <xf numFmtId="0" fontId="41" fillId="8" borderId="27" xfId="33" applyFont="1" applyFill="1" applyBorder="1"/>
    <xf numFmtId="0" fontId="41" fillId="8" borderId="5" xfId="33" applyFont="1" applyFill="1" applyBorder="1"/>
    <xf numFmtId="0" fontId="41" fillId="8" borderId="3" xfId="33" applyFont="1" applyFill="1" applyBorder="1"/>
    <xf numFmtId="0" fontId="40" fillId="0" borderId="22" xfId="0" applyFont="1" applyBorder="1" applyAlignment="1"/>
    <xf numFmtId="0" fontId="40" fillId="0" borderId="3" xfId="0" applyFont="1" applyBorder="1"/>
    <xf numFmtId="0" fontId="40" fillId="0" borderId="3" xfId="0" applyFont="1" applyBorder="1" applyAlignment="1"/>
    <xf numFmtId="165" fontId="40" fillId="0" borderId="3" xfId="7" applyNumberFormat="1" applyFont="1" applyBorder="1" applyAlignment="1" applyProtection="1"/>
    <xf numFmtId="176" fontId="40" fillId="0" borderId="3" xfId="0" applyNumberFormat="1" applyFont="1" applyBorder="1" applyAlignment="1"/>
    <xf numFmtId="164" fontId="40" fillId="0" borderId="3" xfId="7" applyNumberFormat="1" applyFont="1" applyBorder="1" applyAlignment="1" applyProtection="1"/>
    <xf numFmtId="11" fontId="40" fillId="0" borderId="3" xfId="0" applyNumberFormat="1" applyFont="1" applyBorder="1" applyAlignment="1"/>
    <xf numFmtId="2" fontId="40" fillId="0" borderId="16" xfId="7" applyNumberFormat="1" applyFont="1" applyBorder="1" applyAlignment="1" applyProtection="1"/>
    <xf numFmtId="179" fontId="40" fillId="0" borderId="16" xfId="7" applyNumberFormat="1" applyFont="1" applyBorder="1" applyAlignment="1" applyProtection="1"/>
    <xf numFmtId="0" fontId="40" fillId="0" borderId="16" xfId="0" applyFont="1" applyBorder="1" applyAlignment="1"/>
    <xf numFmtId="1" fontId="40" fillId="0" borderId="3" xfId="7" applyNumberFormat="1" applyFont="1" applyBorder="1" applyAlignment="1" applyProtection="1"/>
    <xf numFmtId="0" fontId="40" fillId="0" borderId="20" xfId="33" applyFont="1" applyBorder="1" applyAlignment="1"/>
    <xf numFmtId="0" fontId="41" fillId="0" borderId="21" xfId="33" applyFont="1" applyBorder="1"/>
    <xf numFmtId="0" fontId="41" fillId="0" borderId="0" xfId="33" applyFont="1" applyBorder="1"/>
    <xf numFmtId="0" fontId="41" fillId="8" borderId="3" xfId="33" applyFont="1" applyFill="1" applyBorder="1" applyAlignment="1">
      <alignment horizontal="right"/>
    </xf>
    <xf numFmtId="165" fontId="41" fillId="8" borderId="5" xfId="33" applyNumberFormat="1" applyFont="1" applyFill="1" applyBorder="1"/>
    <xf numFmtId="0" fontId="40" fillId="0" borderId="21" xfId="33" applyFont="1" applyBorder="1"/>
    <xf numFmtId="0" fontId="41" fillId="8" borderId="22" xfId="33" applyFont="1" applyFill="1" applyBorder="1"/>
    <xf numFmtId="0" fontId="40" fillId="0" borderId="22" xfId="33" applyFont="1" applyBorder="1" applyAlignment="1">
      <alignment wrapText="1"/>
    </xf>
    <xf numFmtId="0" fontId="40" fillId="0" borderId="3" xfId="7" applyNumberFormat="1" applyFont="1" applyBorder="1" applyAlignment="1">
      <alignment wrapText="1"/>
    </xf>
    <xf numFmtId="0" fontId="40" fillId="0" borderId="3" xfId="33" applyFont="1" applyBorder="1" applyAlignment="1">
      <alignment wrapText="1"/>
    </xf>
    <xf numFmtId="165" fontId="40" fillId="0" borderId="3" xfId="7" applyNumberFormat="1" applyFont="1" applyBorder="1" applyAlignment="1" applyProtection="1">
      <alignment wrapText="1"/>
    </xf>
    <xf numFmtId="0" fontId="40" fillId="0" borderId="0" xfId="33" applyFont="1" applyBorder="1" applyAlignment="1">
      <alignment wrapText="1"/>
    </xf>
    <xf numFmtId="0" fontId="40" fillId="0" borderId="20" xfId="33" applyFont="1" applyBorder="1" applyAlignment="1">
      <alignment wrapText="1"/>
    </xf>
    <xf numFmtId="0" fontId="40" fillId="0" borderId="22" xfId="33" applyFont="1" applyBorder="1"/>
    <xf numFmtId="0" fontId="40" fillId="0" borderId="6" xfId="30" applyFont="1" applyFill="1" applyBorder="1" applyAlignment="1">
      <alignment wrapText="1"/>
    </xf>
    <xf numFmtId="0" fontId="40" fillId="0" borderId="3" xfId="33" applyFont="1" applyBorder="1"/>
    <xf numFmtId="0" fontId="41" fillId="8" borderId="5" xfId="33" applyFont="1" applyFill="1" applyBorder="1" applyAlignment="1">
      <alignment horizontal="right"/>
    </xf>
    <xf numFmtId="0" fontId="40" fillId="0" borderId="23" xfId="33" applyFont="1" applyBorder="1"/>
    <xf numFmtId="0" fontId="40" fillId="0" borderId="24" xfId="33" applyFont="1" applyBorder="1"/>
    <xf numFmtId="0" fontId="40" fillId="0" borderId="25" xfId="33" applyFont="1" applyBorder="1"/>
    <xf numFmtId="0" fontId="44" fillId="0" borderId="46" xfId="42" applyFont="1" applyFill="1" applyBorder="1" applyAlignment="1">
      <alignment horizontal="left" wrapText="1"/>
    </xf>
    <xf numFmtId="0" fontId="11" fillId="8" borderId="46" xfId="0" applyFont="1" applyFill="1" applyBorder="1"/>
    <xf numFmtId="0" fontId="44" fillId="0" borderId="47" xfId="42" applyFont="1" applyFill="1" applyBorder="1" applyAlignment="1">
      <alignment wrapText="1"/>
    </xf>
    <xf numFmtId="0" fontId="40" fillId="0" borderId="46" xfId="30" applyFont="1" applyFill="1" applyBorder="1" applyAlignment="1"/>
    <xf numFmtId="0" fontId="44" fillId="0" borderId="46" xfId="42" applyFont="1" applyFill="1" applyBorder="1" applyAlignment="1" applyProtection="1"/>
    <xf numFmtId="0" fontId="40" fillId="13" borderId="46" xfId="42" applyFont="1" applyFill="1" applyBorder="1" applyAlignment="1">
      <alignment wrapText="1"/>
    </xf>
    <xf numFmtId="0" fontId="29" fillId="0" borderId="0" xfId="0" applyFont="1" applyFill="1" applyBorder="1"/>
    <xf numFmtId="0" fontId="11" fillId="7" borderId="33" xfId="0" applyFont="1" applyFill="1" applyBorder="1"/>
    <xf numFmtId="37" fontId="12" fillId="0" borderId="46" xfId="0" applyNumberFormat="1" applyFont="1" applyBorder="1"/>
    <xf numFmtId="11" fontId="12" fillId="0" borderId="46" xfId="0" applyNumberFormat="1" applyFont="1" applyBorder="1"/>
    <xf numFmtId="167" fontId="12" fillId="0" borderId="46" xfId="7" applyNumberFormat="1" applyFont="1" applyBorder="1" applyAlignment="1" applyProtection="1"/>
    <xf numFmtId="0" fontId="12" fillId="0" borderId="46" xfId="0" applyFont="1" applyBorder="1" applyAlignment="1">
      <alignment wrapText="1"/>
    </xf>
    <xf numFmtId="0" fontId="12" fillId="0" borderId="46" xfId="0" applyFont="1" applyBorder="1" applyAlignment="1"/>
    <xf numFmtId="11" fontId="12" fillId="0" borderId="46" xfId="0" applyNumberFormat="1" applyFont="1" applyBorder="1" applyAlignment="1"/>
    <xf numFmtId="173" fontId="12" fillId="0" borderId="46" xfId="7" applyNumberFormat="1" applyFont="1" applyBorder="1" applyAlignment="1" applyProtection="1"/>
    <xf numFmtId="168" fontId="12" fillId="0" borderId="46" xfId="7" applyNumberFormat="1" applyFont="1" applyBorder="1" applyAlignment="1" applyProtection="1"/>
    <xf numFmtId="0" fontId="0" fillId="0" borderId="46" xfId="0" applyBorder="1"/>
    <xf numFmtId="0" fontId="29" fillId="0" borderId="46" xfId="0" applyFont="1" applyFill="1" applyBorder="1" applyAlignment="1" applyProtection="1">
      <alignment vertical="center" wrapText="1"/>
    </xf>
    <xf numFmtId="0" fontId="11" fillId="7" borderId="34" xfId="0" applyFont="1" applyFill="1" applyBorder="1"/>
    <xf numFmtId="0" fontId="29" fillId="0" borderId="16" xfId="0" applyFont="1" applyFill="1" applyBorder="1"/>
    <xf numFmtId="0" fontId="29" fillId="0" borderId="45" xfId="30" applyFont="1" applyFill="1" applyBorder="1" applyAlignment="1">
      <alignment wrapText="1"/>
    </xf>
    <xf numFmtId="165" fontId="29" fillId="0" borderId="16" xfId="7" applyNumberFormat="1" applyFont="1" applyBorder="1" applyAlignment="1" applyProtection="1"/>
    <xf numFmtId="0" fontId="29" fillId="0" borderId="3" xfId="46" applyFont="1" applyFill="1" applyBorder="1"/>
    <xf numFmtId="0" fontId="29" fillId="0" borderId="3" xfId="46" applyNumberFormat="1" applyFont="1" applyFill="1" applyBorder="1"/>
    <xf numFmtId="0" fontId="29" fillId="0" borderId="16" xfId="0" applyFont="1" applyBorder="1"/>
    <xf numFmtId="0" fontId="29" fillId="0" borderId="33" xfId="0" applyFont="1" applyBorder="1"/>
    <xf numFmtId="0" fontId="29" fillId="0" borderId="53" xfId="30" applyFont="1" applyFill="1" applyBorder="1" applyAlignment="1">
      <alignment wrapText="1"/>
    </xf>
    <xf numFmtId="165" fontId="29" fillId="0" borderId="33" xfId="7" applyNumberFormat="1" applyFont="1" applyBorder="1" applyAlignment="1" applyProtection="1"/>
    <xf numFmtId="0" fontId="29" fillId="0" borderId="33" xfId="7" applyNumberFormat="1" applyFont="1" applyBorder="1" applyAlignment="1">
      <alignment wrapText="1"/>
    </xf>
    <xf numFmtId="0" fontId="29" fillId="0" borderId="3" xfId="0" applyFont="1" applyBorder="1"/>
    <xf numFmtId="0" fontId="29" fillId="0" borderId="3" xfId="0" applyNumberFormat="1" applyFont="1" applyFill="1" applyBorder="1"/>
    <xf numFmtId="165" fontId="29" fillId="0" borderId="3" xfId="7" applyNumberFormat="1" applyFont="1" applyBorder="1" applyAlignment="1" applyProtection="1"/>
    <xf numFmtId="0" fontId="29" fillId="0" borderId="3" xfId="7" applyNumberFormat="1" applyFont="1" applyBorder="1" applyAlignment="1">
      <alignment wrapText="1"/>
    </xf>
    <xf numFmtId="186" fontId="12" fillId="0" borderId="16" xfId="0" applyNumberFormat="1" applyFont="1" applyBorder="1"/>
    <xf numFmtId="0" fontId="12" fillId="0" borderId="16" xfId="7" applyNumberFormat="1" applyFont="1" applyBorder="1" applyAlignment="1" applyProtection="1">
      <alignment vertical="center" wrapText="1"/>
    </xf>
    <xf numFmtId="39" fontId="12" fillId="0" borderId="16" xfId="7" applyNumberFormat="1" applyFont="1" applyBorder="1" applyAlignment="1" applyProtection="1"/>
    <xf numFmtId="0" fontId="29" fillId="0" borderId="3" xfId="47" applyFont="1" applyFill="1" applyBorder="1"/>
    <xf numFmtId="0" fontId="29" fillId="0" borderId="0" xfId="0" applyNumberFormat="1" applyFont="1" applyFill="1" applyBorder="1"/>
    <xf numFmtId="0" fontId="23" fillId="0" borderId="0" xfId="30" applyFont="1" applyFill="1" applyBorder="1" applyAlignment="1">
      <alignment wrapText="1"/>
    </xf>
    <xf numFmtId="0" fontId="12" fillId="0" borderId="3" xfId="0" applyFont="1" applyBorder="1" applyAlignment="1" applyProtection="1"/>
    <xf numFmtId="187" fontId="12" fillId="0" borderId="3" xfId="0" applyNumberFormat="1" applyFont="1" applyBorder="1" applyAlignment="1"/>
    <xf numFmtId="188" fontId="12" fillId="0" borderId="3" xfId="7" applyNumberFormat="1" applyFont="1" applyBorder="1" applyAlignment="1" applyProtection="1"/>
    <xf numFmtId="168" fontId="12" fillId="0" borderId="3" xfId="7" applyNumberFormat="1" applyFont="1" applyBorder="1" applyAlignment="1" applyProtection="1"/>
    <xf numFmtId="3" fontId="0" fillId="0" borderId="3" xfId="0" applyNumberFormat="1" applyBorder="1" applyAlignment="1"/>
    <xf numFmtId="189" fontId="11" fillId="0" borderId="0" xfId="0" applyNumberFormat="1" applyFont="1" applyBorder="1"/>
    <xf numFmtId="0" fontId="12" fillId="0" borderId="3" xfId="0" applyFont="1" applyBorder="1"/>
    <xf numFmtId="0" fontId="0" fillId="0" borderId="5" xfId="0" applyBorder="1"/>
    <xf numFmtId="165" fontId="12" fillId="0" borderId="5" xfId="7" applyNumberFormat="1" applyFont="1" applyBorder="1" applyAlignment="1" applyProtection="1"/>
    <xf numFmtId="37" fontId="19" fillId="9" borderId="3" xfId="1" applyNumberFormat="1" applyFont="1" applyFill="1" applyBorder="1" applyAlignment="1" applyProtection="1">
      <alignment horizontal="center"/>
      <protection locked="0"/>
    </xf>
    <xf numFmtId="37" fontId="19" fillId="10" borderId="3" xfId="1" applyNumberFormat="1" applyFont="1" applyFill="1" applyBorder="1" applyAlignment="1" applyProtection="1">
      <alignment horizontal="center"/>
      <protection locked="0"/>
    </xf>
    <xf numFmtId="0" fontId="0" fillId="0" borderId="3" xfId="0" applyBorder="1" applyAlignment="1"/>
    <xf numFmtId="0" fontId="0" fillId="0" borderId="3" xfId="7" applyNumberFormat="1" applyFont="1" applyBorder="1" applyAlignment="1"/>
    <xf numFmtId="0" fontId="23" fillId="0" borderId="45" xfId="30" applyFont="1" applyFill="1" applyBorder="1" applyAlignment="1"/>
    <xf numFmtId="0" fontId="37" fillId="0" borderId="22" xfId="0" applyFont="1" applyBorder="1" applyAlignment="1">
      <alignment wrapText="1"/>
    </xf>
    <xf numFmtId="0" fontId="37" fillId="0" borderId="3" xfId="0" applyFont="1" applyBorder="1" applyAlignment="1"/>
    <xf numFmtId="165" fontId="37" fillId="0" borderId="3" xfId="7" applyNumberFormat="1" applyFont="1" applyBorder="1" applyAlignment="1" applyProtection="1">
      <alignment wrapText="1"/>
    </xf>
    <xf numFmtId="0" fontId="37" fillId="0" borderId="3" xfId="7" applyNumberFormat="1" applyFont="1" applyBorder="1" applyAlignment="1">
      <alignment wrapText="1"/>
    </xf>
    <xf numFmtId="0" fontId="37" fillId="0" borderId="3" xfId="0" applyFont="1" applyBorder="1" applyAlignment="1">
      <alignment wrapText="1"/>
    </xf>
    <xf numFmtId="0" fontId="37" fillId="0" borderId="22" xfId="0" applyFont="1" applyBorder="1"/>
    <xf numFmtId="0" fontId="37" fillId="0" borderId="3" xfId="0" applyFont="1" applyBorder="1"/>
    <xf numFmtId="165" fontId="37" fillId="0" borderId="3" xfId="7" applyNumberFormat="1" applyFont="1" applyBorder="1" applyAlignment="1" applyProtection="1"/>
    <xf numFmtId="175" fontId="37" fillId="0" borderId="3" xfId="0" applyNumberFormat="1" applyFont="1" applyBorder="1"/>
    <xf numFmtId="0" fontId="19" fillId="9" borderId="46" xfId="1" applyFont="1" applyFill="1" applyBorder="1" applyProtection="1">
      <protection locked="0"/>
    </xf>
    <xf numFmtId="0" fontId="19" fillId="9" borderId="46" xfId="1" applyFont="1" applyFill="1" applyBorder="1" applyAlignment="1">
      <alignment horizontal="left"/>
    </xf>
    <xf numFmtId="18" fontId="19" fillId="9" borderId="46" xfId="1" applyNumberFormat="1" applyFont="1" applyFill="1" applyBorder="1" applyAlignment="1" applyProtection="1">
      <protection locked="0"/>
    </xf>
    <xf numFmtId="0" fontId="26" fillId="9" borderId="46" xfId="8" applyFill="1" applyBorder="1" applyAlignment="1">
      <alignment horizontal="left"/>
    </xf>
    <xf numFmtId="172" fontId="19" fillId="9" borderId="46" xfId="5" applyNumberFormat="1" applyFont="1" applyFill="1" applyBorder="1" applyProtection="1">
      <protection locked="0"/>
    </xf>
    <xf numFmtId="37" fontId="19" fillId="9" borderId="46" xfId="1" applyNumberFormat="1" applyFont="1" applyFill="1" applyBorder="1" applyAlignment="1" applyProtection="1">
      <alignment horizontal="center"/>
      <protection locked="0"/>
    </xf>
    <xf numFmtId="172" fontId="19" fillId="9" borderId="46" xfId="1" applyNumberFormat="1" applyFont="1" applyFill="1" applyBorder="1" applyAlignment="1" applyProtection="1">
      <alignment horizontal="center"/>
      <protection locked="0"/>
    </xf>
    <xf numFmtId="172" fontId="19" fillId="9" borderId="46" xfId="1" applyNumberFormat="1" applyFont="1" applyFill="1" applyBorder="1" applyAlignment="1">
      <alignment horizontal="right"/>
    </xf>
    <xf numFmtId="0" fontId="19" fillId="9" borderId="46" xfId="1" applyFont="1" applyFill="1" applyBorder="1" applyAlignment="1">
      <alignment horizontal="center"/>
    </xf>
    <xf numFmtId="0" fontId="19" fillId="10" borderId="46" xfId="1" applyFont="1" applyFill="1" applyBorder="1" applyAlignment="1">
      <alignment horizontal="left"/>
    </xf>
    <xf numFmtId="172" fontId="19" fillId="10" borderId="46" xfId="5" applyNumberFormat="1" applyFont="1" applyFill="1" applyBorder="1" applyProtection="1">
      <protection locked="0"/>
    </xf>
    <xf numFmtId="37" fontId="19" fillId="10" borderId="46" xfId="1" applyNumberFormat="1" applyFont="1" applyFill="1" applyBorder="1" applyAlignment="1" applyProtection="1">
      <alignment horizontal="center"/>
      <protection locked="0"/>
    </xf>
    <xf numFmtId="172" fontId="19" fillId="10" borderId="46" xfId="1" applyNumberFormat="1" applyFont="1" applyFill="1" applyBorder="1" applyAlignment="1" applyProtection="1">
      <alignment horizontal="center"/>
      <protection locked="0"/>
    </xf>
    <xf numFmtId="172" fontId="19" fillId="10" borderId="46" xfId="1" applyNumberFormat="1" applyFont="1" applyFill="1" applyBorder="1" applyAlignment="1">
      <alignment horizontal="right"/>
    </xf>
    <xf numFmtId="0" fontId="19" fillId="10" borderId="46" xfId="1" applyFont="1" applyFill="1" applyBorder="1" applyAlignment="1" applyProtection="1">
      <alignment horizontal="center"/>
      <protection locked="0"/>
    </xf>
    <xf numFmtId="0" fontId="11" fillId="7" borderId="51" xfId="0" applyFont="1" applyFill="1" applyBorder="1"/>
    <xf numFmtId="0" fontId="26" fillId="0" borderId="0" xfId="8" applyNumberFormat="1" applyBorder="1" applyAlignment="1" applyProtection="1"/>
    <xf numFmtId="0" fontId="0" fillId="0" borderId="44" xfId="0" applyBorder="1"/>
    <xf numFmtId="0" fontId="11" fillId="7" borderId="54" xfId="0" applyFont="1" applyFill="1" applyBorder="1"/>
    <xf numFmtId="0" fontId="12" fillId="0" borderId="55" xfId="0" applyFont="1" applyBorder="1"/>
    <xf numFmtId="0" fontId="26" fillId="0" borderId="3" xfId="8" applyNumberFormat="1" applyBorder="1" applyAlignment="1" applyProtection="1"/>
    <xf numFmtId="37" fontId="12" fillId="0" borderId="3" xfId="0" applyNumberFormat="1" applyFont="1" applyBorder="1"/>
    <xf numFmtId="0" fontId="26" fillId="0" borderId="3" xfId="8" applyBorder="1"/>
    <xf numFmtId="0" fontId="26" fillId="0" borderId="3" xfId="8" applyNumberFormat="1" applyFill="1" applyBorder="1" applyAlignment="1" applyProtection="1"/>
    <xf numFmtId="0" fontId="12" fillId="0" borderId="43" xfId="7" applyNumberFormat="1" applyFont="1" applyBorder="1" applyAlignment="1"/>
    <xf numFmtId="0" fontId="12" fillId="0" borderId="55" xfId="0" applyFont="1" applyFill="1" applyBorder="1"/>
    <xf numFmtId="0" fontId="12" fillId="0" borderId="51" xfId="0" applyFont="1" applyBorder="1"/>
    <xf numFmtId="0" fontId="12" fillId="0" borderId="16" xfId="0" applyFont="1" applyBorder="1" applyAlignment="1">
      <alignment wrapText="1"/>
    </xf>
    <xf numFmtId="0" fontId="12" fillId="0" borderId="16" xfId="0" applyFont="1" applyBorder="1" applyAlignment="1"/>
    <xf numFmtId="11" fontId="12" fillId="0" borderId="16" xfId="0" applyNumberFormat="1" applyFont="1" applyBorder="1" applyAlignment="1"/>
    <xf numFmtId="0" fontId="0" fillId="0" borderId="43" xfId="0" applyBorder="1" applyAlignment="1"/>
    <xf numFmtId="0" fontId="11" fillId="0" borderId="44" xfId="0" applyFont="1" applyBorder="1"/>
    <xf numFmtId="0" fontId="0" fillId="0" borderId="43" xfId="0" applyBorder="1" applyAlignment="1">
      <alignment wrapText="1"/>
    </xf>
    <xf numFmtId="0" fontId="0" fillId="0" borderId="16" xfId="0" applyBorder="1"/>
    <xf numFmtId="0" fontId="0" fillId="0" borderId="16" xfId="7" applyNumberFormat="1" applyFont="1" applyBorder="1" applyAlignment="1">
      <alignment wrapText="1"/>
    </xf>
    <xf numFmtId="0" fontId="0" fillId="0" borderId="43" xfId="0" applyFont="1" applyBorder="1"/>
    <xf numFmtId="0" fontId="12" fillId="0" borderId="54" xfId="0" applyFont="1" applyBorder="1"/>
    <xf numFmtId="0" fontId="0" fillId="0" borderId="33" xfId="7" applyNumberFormat="1" applyFont="1" applyBorder="1" applyAlignment="1">
      <alignment wrapText="1"/>
    </xf>
    <xf numFmtId="0" fontId="0" fillId="0" borderId="33" xfId="0" applyBorder="1"/>
    <xf numFmtId="0" fontId="23" fillId="0" borderId="3" xfId="30" applyFont="1" applyFill="1" applyBorder="1" applyAlignment="1">
      <alignment wrapText="1"/>
    </xf>
    <xf numFmtId="0" fontId="12" fillId="0" borderId="56" xfId="0" applyFont="1" applyBorder="1"/>
    <xf numFmtId="0" fontId="29" fillId="0" borderId="3" xfId="49" applyNumberFormat="1" applyFont="1" applyFill="1" applyBorder="1"/>
    <xf numFmtId="0" fontId="39" fillId="17" borderId="3" xfId="49" applyFont="1" applyFill="1" applyBorder="1"/>
    <xf numFmtId="0" fontId="34" fillId="0" borderId="0" xfId="49" applyFont="1" applyBorder="1"/>
    <xf numFmtId="0" fontId="39" fillId="17" borderId="3" xfId="49" applyFont="1" applyFill="1" applyBorder="1" applyAlignment="1">
      <alignment horizontal="left"/>
    </xf>
    <xf numFmtId="0" fontId="34" fillId="0" borderId="0" xfId="49" applyFont="1" applyBorder="1" applyAlignment="1">
      <alignment horizontal="right"/>
    </xf>
    <xf numFmtId="165" fontId="34" fillId="0" borderId="0" xfId="49" applyNumberFormat="1" applyFont="1" applyBorder="1"/>
    <xf numFmtId="37" fontId="34" fillId="0" borderId="0" xfId="49" applyNumberFormat="1" applyFont="1" applyBorder="1"/>
    <xf numFmtId="0" fontId="12" fillId="0" borderId="0" xfId="7" applyNumberFormat="1" applyFont="1" applyBorder="1" applyAlignment="1" applyProtection="1"/>
    <xf numFmtId="0" fontId="34" fillId="0" borderId="44" xfId="49" applyFont="1" applyBorder="1"/>
    <xf numFmtId="0" fontId="39" fillId="17" borderId="57" xfId="49" applyFont="1" applyFill="1" applyBorder="1"/>
    <xf numFmtId="0" fontId="39" fillId="17" borderId="58" xfId="49" applyFont="1" applyFill="1" applyBorder="1"/>
    <xf numFmtId="0" fontId="34" fillId="0" borderId="59" xfId="49" applyFont="1" applyBorder="1"/>
    <xf numFmtId="0" fontId="29" fillId="0" borderId="0" xfId="0" applyFont="1" applyFill="1" applyBorder="1" applyAlignment="1" applyProtection="1">
      <alignment vertical="center" wrapText="1"/>
    </xf>
    <xf numFmtId="0" fontId="34" fillId="0" borderId="60" xfId="49" applyFont="1" applyBorder="1"/>
    <xf numFmtId="165" fontId="34" fillId="0" borderId="60" xfId="49" applyNumberFormat="1" applyFont="1" applyBorder="1"/>
    <xf numFmtId="190" fontId="34" fillId="0" borderId="60" xfId="49" applyNumberFormat="1" applyFont="1" applyBorder="1"/>
    <xf numFmtId="164" fontId="34" fillId="0" borderId="60" xfId="49" applyNumberFormat="1" applyFont="1" applyBorder="1"/>
    <xf numFmtId="11" fontId="34" fillId="0" borderId="60" xfId="49" applyNumberFormat="1" applyFont="1" applyBorder="1"/>
    <xf numFmtId="191" fontId="34" fillId="0" borderId="60" xfId="49" applyNumberFormat="1" applyFont="1" applyBorder="1"/>
    <xf numFmtId="0" fontId="34" fillId="0" borderId="60" xfId="49" applyNumberFormat="1" applyFont="1" applyBorder="1"/>
    <xf numFmtId="0" fontId="39" fillId="0" borderId="44" xfId="49" applyFont="1" applyBorder="1"/>
    <xf numFmtId="0" fontId="39" fillId="0" borderId="0" xfId="49" applyFont="1" applyBorder="1"/>
    <xf numFmtId="0" fontId="39" fillId="17" borderId="61" xfId="49" applyFont="1" applyFill="1" applyBorder="1" applyAlignment="1">
      <alignment horizontal="right"/>
    </xf>
    <xf numFmtId="192" fontId="39" fillId="17" borderId="60" xfId="49" applyNumberFormat="1" applyFont="1" applyFill="1" applyBorder="1"/>
    <xf numFmtId="165" fontId="39" fillId="17" borderId="60" xfId="49" applyNumberFormat="1" applyFont="1" applyFill="1" applyBorder="1"/>
    <xf numFmtId="0" fontId="34" fillId="0" borderId="48" xfId="49" applyFont="1" applyBorder="1"/>
    <xf numFmtId="0" fontId="34" fillId="0" borderId="49" xfId="49" applyFont="1" applyBorder="1"/>
    <xf numFmtId="0" fontId="34" fillId="0" borderId="0" xfId="49" applyFont="1"/>
    <xf numFmtId="0" fontId="3" fillId="0" borderId="0" xfId="49"/>
    <xf numFmtId="0" fontId="39" fillId="17" borderId="62" xfId="49" applyFont="1" applyFill="1" applyBorder="1"/>
    <xf numFmtId="0" fontId="39" fillId="17" borderId="2" xfId="49" applyFont="1" applyFill="1" applyBorder="1" applyAlignment="1">
      <alignment horizontal="left"/>
    </xf>
    <xf numFmtId="0" fontId="39" fillId="17" borderId="2" xfId="49" applyFont="1" applyFill="1" applyBorder="1"/>
    <xf numFmtId="0" fontId="39" fillId="17" borderId="63" xfId="49" applyFont="1" applyFill="1" applyBorder="1"/>
    <xf numFmtId="0" fontId="39" fillId="17" borderId="64" xfId="49" applyFont="1" applyFill="1" applyBorder="1"/>
    <xf numFmtId="0" fontId="39" fillId="17" borderId="65" xfId="49" applyFont="1" applyFill="1" applyBorder="1"/>
    <xf numFmtId="0" fontId="39" fillId="17" borderId="66" xfId="49" applyFont="1" applyFill="1" applyBorder="1"/>
    <xf numFmtId="0" fontId="34" fillId="0" borderId="47" xfId="49" applyFont="1" applyBorder="1"/>
    <xf numFmtId="0" fontId="29" fillId="0" borderId="3" xfId="0" applyFont="1" applyFill="1" applyBorder="1" applyAlignment="1" applyProtection="1">
      <alignment vertical="center" wrapText="1"/>
    </xf>
    <xf numFmtId="0" fontId="12" fillId="0" borderId="67" xfId="0" applyFont="1" applyBorder="1" applyAlignment="1"/>
    <xf numFmtId="193" fontId="12" fillId="0" borderId="3" xfId="0" applyNumberFormat="1" applyFont="1" applyBorder="1" applyAlignment="1"/>
    <xf numFmtId="194" fontId="12" fillId="0" borderId="3" xfId="7" applyNumberFormat="1" applyFont="1" applyBorder="1" applyAlignment="1" applyProtection="1"/>
    <xf numFmtId="0" fontId="11" fillId="8" borderId="67" xfId="0" applyFont="1" applyFill="1" applyBorder="1"/>
    <xf numFmtId="0" fontId="34" fillId="0" borderId="61" xfId="49" applyFont="1" applyBorder="1"/>
    <xf numFmtId="0" fontId="34" fillId="0" borderId="60" xfId="49" applyFont="1" applyBorder="1" applyAlignment="1">
      <alignment wrapText="1"/>
    </xf>
    <xf numFmtId="0" fontId="34" fillId="0" borderId="3" xfId="49" applyFont="1" applyBorder="1"/>
    <xf numFmtId="0" fontId="34" fillId="0" borderId="49" xfId="49" applyFont="1" applyBorder="1" applyAlignment="1">
      <alignment horizontal="right"/>
    </xf>
    <xf numFmtId="165" fontId="34" fillId="0" borderId="49" xfId="49" applyNumberFormat="1" applyFont="1" applyBorder="1"/>
    <xf numFmtId="0" fontId="12" fillId="0" borderId="47" xfId="0" applyFont="1" applyBorder="1"/>
    <xf numFmtId="18" fontId="19" fillId="10" borderId="46" xfId="1" applyNumberFormat="1" applyFont="1" applyFill="1" applyBorder="1" applyAlignment="1" applyProtection="1">
      <alignment horizontal="left"/>
      <protection locked="0"/>
    </xf>
    <xf numFmtId="0" fontId="0" fillId="0" borderId="22" xfId="0" applyBorder="1" applyAlignment="1"/>
    <xf numFmtId="175" fontId="12" fillId="0" borderId="3" xfId="0" applyNumberFormat="1" applyFont="1" applyBorder="1" applyAlignment="1"/>
    <xf numFmtId="0" fontId="0" fillId="0" borderId="5" xfId="0" applyBorder="1" applyAlignment="1"/>
    <xf numFmtId="0" fontId="19" fillId="10" borderId="3" xfId="1" applyFont="1" applyFill="1" applyBorder="1" applyAlignment="1">
      <alignment horizontal="left"/>
    </xf>
    <xf numFmtId="0" fontId="12" fillId="0" borderId="3" xfId="0" applyFont="1" applyFill="1" applyBorder="1"/>
    <xf numFmtId="0" fontId="29" fillId="0" borderId="3" xfId="52" applyNumberFormat="1" applyFont="1" applyFill="1" applyBorder="1"/>
    <xf numFmtId="0" fontId="29" fillId="0" borderId="3" xfId="53" applyNumberFormat="1" applyFont="1" applyFill="1" applyBorder="1"/>
    <xf numFmtId="0" fontId="39" fillId="18" borderId="3" xfId="53" applyFont="1" applyFill="1" applyBorder="1"/>
    <xf numFmtId="0" fontId="34" fillId="0" borderId="0" xfId="53" applyFont="1" applyBorder="1"/>
    <xf numFmtId="0" fontId="43" fillId="0" borderId="0" xfId="54" applyBorder="1"/>
    <xf numFmtId="0" fontId="39" fillId="18" borderId="3" xfId="53" applyFont="1" applyFill="1" applyBorder="1" applyAlignment="1">
      <alignment horizontal="left"/>
    </xf>
    <xf numFmtId="0" fontId="34" fillId="0" borderId="0" xfId="53" applyFont="1" applyBorder="1" applyAlignment="1">
      <alignment horizontal="right"/>
    </xf>
    <xf numFmtId="165" fontId="34" fillId="0" borderId="0" xfId="53" applyNumberFormat="1" applyFont="1" applyBorder="1"/>
    <xf numFmtId="37" fontId="34" fillId="0" borderId="0" xfId="53" applyNumberFormat="1" applyFont="1" applyBorder="1"/>
    <xf numFmtId="0" fontId="34" fillId="0" borderId="44" xfId="53" applyFont="1" applyBorder="1"/>
    <xf numFmtId="0" fontId="39" fillId="18" borderId="57" xfId="53" applyFont="1" applyFill="1" applyBorder="1"/>
    <xf numFmtId="0" fontId="39" fillId="18" borderId="58" xfId="53" applyFont="1" applyFill="1" applyBorder="1"/>
    <xf numFmtId="0" fontId="34" fillId="0" borderId="68" xfId="53" applyFont="1" applyBorder="1"/>
    <xf numFmtId="0" fontId="29" fillId="0" borderId="69" xfId="0" applyFont="1" applyFill="1" applyBorder="1" applyAlignment="1" applyProtection="1">
      <alignment vertical="center" wrapText="1"/>
    </xf>
    <xf numFmtId="0" fontId="34" fillId="0" borderId="70" xfId="53" applyFont="1" applyBorder="1"/>
    <xf numFmtId="165" fontId="34" fillId="0" borderId="60" xfId="53" applyNumberFormat="1" applyFont="1" applyBorder="1"/>
    <xf numFmtId="190" fontId="34" fillId="0" borderId="60" xfId="53" applyNumberFormat="1" applyFont="1" applyBorder="1"/>
    <xf numFmtId="0" fontId="34" fillId="0" borderId="60" xfId="53" applyFont="1" applyBorder="1"/>
    <xf numFmtId="164" fontId="34" fillId="0" borderId="60" xfId="53" applyNumberFormat="1" applyFont="1" applyBorder="1"/>
    <xf numFmtId="11" fontId="34" fillId="0" borderId="60" xfId="53" applyNumberFormat="1" applyFont="1" applyBorder="1"/>
    <xf numFmtId="191" fontId="34" fillId="0" borderId="60" xfId="53" applyNumberFormat="1" applyFont="1" applyBorder="1"/>
    <xf numFmtId="0" fontId="34" fillId="0" borderId="60" xfId="53" applyNumberFormat="1" applyFont="1" applyBorder="1"/>
    <xf numFmtId="0" fontId="39" fillId="0" borderId="44" xfId="53" applyFont="1" applyBorder="1"/>
    <xf numFmtId="0" fontId="39" fillId="0" borderId="0" xfId="53" applyFont="1" applyBorder="1"/>
    <xf numFmtId="0" fontId="39" fillId="18" borderId="61" xfId="53" applyFont="1" applyFill="1" applyBorder="1" applyAlignment="1">
      <alignment horizontal="right"/>
    </xf>
    <xf numFmtId="192" fontId="39" fillId="18" borderId="60" xfId="53" applyNumberFormat="1" applyFont="1" applyFill="1" applyBorder="1"/>
    <xf numFmtId="0" fontId="34" fillId="0" borderId="59" xfId="53" applyFont="1" applyBorder="1"/>
    <xf numFmtId="165" fontId="39" fillId="18" borderId="60" xfId="53" applyNumberFormat="1" applyFont="1" applyFill="1" applyBorder="1"/>
    <xf numFmtId="0" fontId="34" fillId="0" borderId="48" xfId="53" applyFont="1" applyBorder="1"/>
    <xf numFmtId="0" fontId="34" fillId="0" borderId="49" xfId="53" applyFont="1" applyBorder="1"/>
    <xf numFmtId="0" fontId="34" fillId="0" borderId="0" xfId="53" applyFont="1"/>
    <xf numFmtId="0" fontId="2" fillId="0" borderId="0" xfId="53"/>
    <xf numFmtId="0" fontId="34" fillId="0" borderId="61" xfId="53" applyFont="1" applyBorder="1"/>
    <xf numFmtId="0" fontId="39" fillId="17" borderId="62" xfId="53" applyFont="1" applyFill="1" applyBorder="1"/>
    <xf numFmtId="0" fontId="39" fillId="17" borderId="2" xfId="53" applyFont="1" applyFill="1" applyBorder="1" applyAlignment="1">
      <alignment horizontal="left"/>
    </xf>
    <xf numFmtId="0" fontId="39" fillId="17" borderId="2" xfId="53" applyFont="1" applyFill="1" applyBorder="1"/>
    <xf numFmtId="0" fontId="39" fillId="17" borderId="63" xfId="53" applyFont="1" applyFill="1" applyBorder="1"/>
    <xf numFmtId="0" fontId="39" fillId="17" borderId="64" xfId="53" applyFont="1" applyFill="1" applyBorder="1"/>
    <xf numFmtId="0" fontId="39" fillId="17" borderId="65" xfId="53" applyFont="1" applyFill="1" applyBorder="1"/>
    <xf numFmtId="0" fontId="39" fillId="17" borderId="66" xfId="53" applyFont="1" applyFill="1" applyBorder="1"/>
    <xf numFmtId="0" fontId="39" fillId="17" borderId="58" xfId="53" applyFont="1" applyFill="1" applyBorder="1"/>
    <xf numFmtId="0" fontId="34" fillId="0" borderId="47" xfId="53" applyFont="1" applyBorder="1"/>
    <xf numFmtId="0" fontId="34" fillId="0" borderId="3" xfId="53" applyFont="1" applyBorder="1"/>
    <xf numFmtId="0" fontId="39" fillId="17" borderId="61" xfId="53" applyFont="1" applyFill="1" applyBorder="1" applyAlignment="1">
      <alignment horizontal="right"/>
    </xf>
    <xf numFmtId="192" fontId="39" fillId="17" borderId="60" xfId="53" applyNumberFormat="1" applyFont="1" applyFill="1" applyBorder="1"/>
    <xf numFmtId="0" fontId="39" fillId="17" borderId="57" xfId="53" applyFont="1" applyFill="1" applyBorder="1"/>
    <xf numFmtId="165" fontId="39" fillId="17" borderId="60" xfId="53" applyNumberFormat="1" applyFont="1" applyFill="1" applyBorder="1"/>
    <xf numFmtId="11" fontId="12" fillId="0" borderId="3" xfId="0" applyNumberFormat="1" applyFont="1" applyBorder="1" applyAlignment="1">
      <alignment wrapText="1"/>
    </xf>
    <xf numFmtId="0" fontId="34" fillId="0" borderId="60" xfId="53" applyFont="1" applyBorder="1" applyAlignment="1">
      <alignment wrapText="1"/>
    </xf>
    <xf numFmtId="37" fontId="12" fillId="0" borderId="3" xfId="0" applyNumberFormat="1" applyFont="1" applyBorder="1" applyAlignment="1">
      <alignment horizontal="right"/>
    </xf>
    <xf numFmtId="0" fontId="12" fillId="0" borderId="3" xfId="0" applyFont="1" applyBorder="1" applyAlignment="1">
      <alignment horizontal="right"/>
    </xf>
    <xf numFmtId="0" fontId="12" fillId="0" borderId="3" xfId="50" applyNumberFormat="1" applyFont="1" applyBorder="1" applyAlignment="1"/>
    <xf numFmtId="169" fontId="12" fillId="0" borderId="16" xfId="7" applyNumberFormat="1" applyFont="1" applyBorder="1" applyAlignment="1" applyProtection="1">
      <alignment horizontal="right"/>
    </xf>
    <xf numFmtId="0" fontId="0" fillId="0" borderId="40" xfId="0" applyFont="1" applyBorder="1"/>
    <xf numFmtId="0" fontId="0" fillId="0" borderId="41" xfId="0" applyFont="1" applyBorder="1"/>
    <xf numFmtId="0" fontId="0" fillId="0" borderId="42" xfId="0" applyFont="1" applyBorder="1"/>
    <xf numFmtId="0" fontId="26" fillId="0" borderId="0" xfId="8" applyFont="1" applyBorder="1"/>
    <xf numFmtId="0" fontId="12" fillId="0" borderId="0" xfId="0" applyFont="1" applyFill="1" applyBorder="1"/>
    <xf numFmtId="0" fontId="0" fillId="0" borderId="44" xfId="0" applyFont="1" applyBorder="1"/>
    <xf numFmtId="0" fontId="0" fillId="0" borderId="46" xfId="0" applyFont="1" applyBorder="1" applyAlignment="1"/>
    <xf numFmtId="0" fontId="0" fillId="0" borderId="43" xfId="0" applyFont="1" applyBorder="1" applyAlignment="1"/>
    <xf numFmtId="0" fontId="0" fillId="0" borderId="47" xfId="0" applyFont="1" applyBorder="1"/>
    <xf numFmtId="0" fontId="12" fillId="0" borderId="46" xfId="0" applyFont="1" applyFill="1" applyBorder="1" applyAlignment="1" applyProtection="1">
      <alignment vertical="center" wrapText="1"/>
    </xf>
    <xf numFmtId="0" fontId="0" fillId="0" borderId="46" xfId="0" applyFont="1" applyBorder="1"/>
    <xf numFmtId="0" fontId="0" fillId="0" borderId="43" xfId="0" applyFont="1" applyBorder="1" applyAlignment="1">
      <alignment wrapText="1"/>
    </xf>
    <xf numFmtId="0" fontId="12" fillId="0" borderId="51" xfId="0" applyFont="1" applyFill="1" applyBorder="1"/>
    <xf numFmtId="0" fontId="12" fillId="0" borderId="45" xfId="30" applyFont="1" applyFill="1" applyBorder="1" applyAlignment="1">
      <alignment wrapText="1"/>
    </xf>
    <xf numFmtId="0" fontId="12" fillId="0" borderId="16" xfId="0" applyFont="1" applyFill="1" applyBorder="1"/>
    <xf numFmtId="0" fontId="12" fillId="0" borderId="55" xfId="46" applyFont="1" applyFill="1" applyBorder="1"/>
    <xf numFmtId="0" fontId="12" fillId="0" borderId="3" xfId="46" applyNumberFormat="1" applyFont="1" applyFill="1" applyBorder="1"/>
    <xf numFmtId="0" fontId="12" fillId="0" borderId="3" xfId="46" applyFont="1" applyFill="1" applyBorder="1"/>
    <xf numFmtId="0" fontId="12" fillId="0" borderId="53" xfId="30" applyFont="1" applyFill="1" applyBorder="1" applyAlignment="1">
      <alignment wrapText="1"/>
    </xf>
    <xf numFmtId="0" fontId="12" fillId="0" borderId="33" xfId="7" applyNumberFormat="1" applyFont="1" applyBorder="1" applyAlignment="1">
      <alignment wrapText="1"/>
    </xf>
    <xf numFmtId="0" fontId="12" fillId="0" borderId="3" xfId="0" applyNumberFormat="1" applyFont="1" applyFill="1" applyBorder="1"/>
    <xf numFmtId="0" fontId="12" fillId="0" borderId="3" xfId="7" applyNumberFormat="1" applyFont="1" applyBorder="1" applyAlignment="1">
      <alignment wrapText="1"/>
    </xf>
    <xf numFmtId="0" fontId="12" fillId="0" borderId="3" xfId="47" applyFont="1" applyFill="1" applyBorder="1"/>
    <xf numFmtId="0" fontId="0" fillId="0" borderId="48" xfId="0" applyFont="1" applyBorder="1"/>
    <xf numFmtId="0" fontId="0" fillId="0" borderId="49" xfId="0" applyFont="1" applyBorder="1"/>
    <xf numFmtId="0" fontId="0" fillId="0" borderId="50" xfId="0" applyFont="1" applyBorder="1"/>
    <xf numFmtId="0" fontId="12" fillId="0" borderId="3" xfId="55" applyFont="1" applyFill="1" applyBorder="1"/>
    <xf numFmtId="170" fontId="12" fillId="0" borderId="3" xfId="36" applyFont="1" applyFill="1" applyBorder="1"/>
    <xf numFmtId="0" fontId="12" fillId="0" borderId="3" xfId="55" applyNumberFormat="1" applyFont="1" applyFill="1" applyBorder="1"/>
    <xf numFmtId="0" fontId="12" fillId="0" borderId="16" xfId="7" applyNumberFormat="1" applyFont="1" applyBorder="1" applyAlignment="1">
      <alignment wrapText="1"/>
    </xf>
    <xf numFmtId="0" fontId="12" fillId="0" borderId="16" xfId="42" applyFont="1" applyBorder="1"/>
    <xf numFmtId="0" fontId="13" fillId="0" borderId="3" xfId="42" applyBorder="1"/>
    <xf numFmtId="0" fontId="2" fillId="0" borderId="16" xfId="7" applyNumberFormat="1" applyFont="1" applyBorder="1" applyAlignment="1">
      <alignment wrapText="1"/>
    </xf>
    <xf numFmtId="0" fontId="29" fillId="0" borderId="3" xfId="42" applyFont="1" applyFill="1" applyBorder="1"/>
    <xf numFmtId="0" fontId="0" fillId="0" borderId="3" xfId="42" applyFont="1" applyBorder="1"/>
    <xf numFmtId="0" fontId="49" fillId="0" borderId="0" xfId="0" applyFont="1" applyBorder="1"/>
    <xf numFmtId="195" fontId="29" fillId="0" borderId="3" xfId="41" applyNumberFormat="1" applyFont="1" applyFill="1" applyBorder="1"/>
    <xf numFmtId="11" fontId="29" fillId="0" borderId="3" xfId="41" applyNumberFormat="1" applyFont="1" applyFill="1" applyBorder="1"/>
    <xf numFmtId="43" fontId="29" fillId="0" borderId="3" xfId="41" applyFont="1" applyFill="1" applyBorder="1"/>
    <xf numFmtId="2" fontId="29" fillId="0" borderId="3" xfId="36" applyNumberFormat="1" applyFont="1" applyFill="1" applyBorder="1"/>
    <xf numFmtId="0" fontId="29" fillId="0" borderId="3" xfId="55" applyFont="1" applyFill="1" applyBorder="1"/>
    <xf numFmtId="11" fontId="29" fillId="0" borderId="3" xfId="55" applyNumberFormat="1" applyFont="1" applyFill="1" applyBorder="1"/>
    <xf numFmtId="0" fontId="34" fillId="0" borderId="0" xfId="55" applyFont="1"/>
    <xf numFmtId="0" fontId="2" fillId="0" borderId="0" xfId="55"/>
    <xf numFmtId="165" fontId="39" fillId="17" borderId="60" xfId="55" applyNumberFormat="1" applyFont="1" applyFill="1" applyBorder="1"/>
    <xf numFmtId="0" fontId="39" fillId="17" borderId="61" xfId="55" applyFont="1" applyFill="1" applyBorder="1" applyAlignment="1">
      <alignment horizontal="right"/>
    </xf>
    <xf numFmtId="0" fontId="12" fillId="0" borderId="3" xfId="42" applyFont="1" applyBorder="1"/>
    <xf numFmtId="190" fontId="12" fillId="0" borderId="3" xfId="42" applyNumberFormat="1" applyFont="1" applyBorder="1"/>
    <xf numFmtId="0" fontId="12" fillId="0" borderId="3" xfId="42" applyFont="1" applyBorder="1" applyAlignment="1">
      <alignment wrapText="1"/>
    </xf>
    <xf numFmtId="0" fontId="34" fillId="0" borderId="61" xfId="55" applyFont="1" applyBorder="1"/>
    <xf numFmtId="0" fontId="39" fillId="17" borderId="58" xfId="55" applyFont="1" applyFill="1" applyBorder="1"/>
    <xf numFmtId="192" fontId="39" fillId="17" borderId="60" xfId="55" applyNumberFormat="1" applyFont="1" applyFill="1" applyBorder="1"/>
    <xf numFmtId="165" fontId="34" fillId="0" borderId="60" xfId="55" applyNumberFormat="1" applyFont="1" applyBorder="1"/>
    <xf numFmtId="0" fontId="34" fillId="0" borderId="60" xfId="55" applyNumberFormat="1" applyFont="1" applyBorder="1"/>
    <xf numFmtId="191" fontId="34" fillId="0" borderId="60" xfId="55" applyNumberFormat="1" applyFont="1" applyBorder="1"/>
    <xf numFmtId="11" fontId="34" fillId="0" borderId="60" xfId="55" applyNumberFormat="1" applyFont="1" applyBorder="1"/>
    <xf numFmtId="164" fontId="34" fillId="0" borderId="60" xfId="55" applyNumberFormat="1" applyFont="1" applyBorder="1"/>
    <xf numFmtId="0" fontId="34" fillId="0" borderId="60" xfId="55" applyFont="1" applyBorder="1"/>
    <xf numFmtId="190" fontId="34" fillId="0" borderId="60" xfId="55" applyNumberFormat="1" applyFont="1" applyBorder="1"/>
    <xf numFmtId="0" fontId="34" fillId="0" borderId="70" xfId="55" applyFont="1" applyBorder="1"/>
    <xf numFmtId="0" fontId="39" fillId="17" borderId="64" xfId="55" applyFont="1" applyFill="1" applyBorder="1"/>
    <xf numFmtId="0" fontId="39" fillId="17" borderId="2" xfId="55" applyFont="1" applyFill="1" applyBorder="1"/>
    <xf numFmtId="0" fontId="39" fillId="17" borderId="2" xfId="55" applyFont="1" applyFill="1" applyBorder="1" applyAlignment="1">
      <alignment horizontal="left"/>
    </xf>
    <xf numFmtId="0" fontId="13" fillId="0" borderId="50" xfId="42" applyBorder="1"/>
    <xf numFmtId="0" fontId="13" fillId="0" borderId="49" xfId="42" applyBorder="1"/>
    <xf numFmtId="0" fontId="13" fillId="0" borderId="48" xfId="42" applyBorder="1"/>
    <xf numFmtId="0" fontId="13" fillId="0" borderId="43" xfId="42" applyBorder="1"/>
    <xf numFmtId="0" fontId="13" fillId="0" borderId="44" xfId="42" applyBorder="1"/>
    <xf numFmtId="0" fontId="39" fillId="0" borderId="0" xfId="55" applyFont="1" applyBorder="1"/>
    <xf numFmtId="0" fontId="39" fillId="0" borderId="44" xfId="55" applyFont="1" applyBorder="1"/>
    <xf numFmtId="0" fontId="13" fillId="0" borderId="43" xfId="42" applyFont="1" applyBorder="1"/>
    <xf numFmtId="1" fontId="29" fillId="0" borderId="3" xfId="42" applyNumberFormat="1" applyFont="1" applyFill="1" applyBorder="1"/>
    <xf numFmtId="0" fontId="29" fillId="0" borderId="3" xfId="42" applyFont="1" applyFill="1" applyBorder="1" applyAlignment="1">
      <alignment wrapText="1"/>
    </xf>
    <xf numFmtId="0" fontId="13" fillId="0" borderId="71" xfId="42" applyBorder="1"/>
    <xf numFmtId="0" fontId="13" fillId="0" borderId="3" xfId="42" applyBorder="1" applyAlignment="1">
      <alignment wrapText="1"/>
    </xf>
    <xf numFmtId="0" fontId="13" fillId="0" borderId="43" xfId="42" applyBorder="1" applyAlignment="1">
      <alignment wrapText="1"/>
    </xf>
    <xf numFmtId="0" fontId="29" fillId="0" borderId="71" xfId="42" applyFont="1" applyFill="1" applyBorder="1"/>
    <xf numFmtId="0" fontId="39" fillId="17" borderId="57" xfId="55" applyFont="1" applyFill="1" applyBorder="1"/>
    <xf numFmtId="0" fontId="13" fillId="0" borderId="43" xfId="42" applyBorder="1" applyAlignment="1"/>
    <xf numFmtId="0" fontId="29" fillId="0" borderId="3" xfId="41" applyNumberFormat="1" applyFont="1" applyFill="1" applyBorder="1"/>
    <xf numFmtId="11" fontId="29" fillId="0" borderId="28" xfId="58" applyNumberFormat="1" applyFont="1" applyFill="1" applyBorder="1"/>
    <xf numFmtId="0" fontId="34" fillId="0" borderId="0" xfId="55" applyFont="1" applyBorder="1"/>
    <xf numFmtId="0" fontId="34" fillId="0" borderId="44" xfId="55" applyFont="1" applyBorder="1"/>
    <xf numFmtId="0" fontId="39" fillId="17" borderId="63" xfId="55" applyFont="1" applyFill="1" applyBorder="1"/>
    <xf numFmtId="165" fontId="34" fillId="0" borderId="0" xfId="55" applyNumberFormat="1" applyFont="1" applyBorder="1"/>
    <xf numFmtId="37" fontId="34" fillId="0" borderId="0" xfId="55" applyNumberFormat="1" applyFont="1" applyBorder="1"/>
    <xf numFmtId="0" fontId="34" fillId="0" borderId="0" xfId="55" applyFont="1" applyBorder="1" applyAlignment="1">
      <alignment horizontal="right"/>
    </xf>
    <xf numFmtId="0" fontId="39" fillId="17" borderId="62" xfId="55" applyFont="1" applyFill="1" applyBorder="1"/>
    <xf numFmtId="0" fontId="13" fillId="0" borderId="42" xfId="42" applyBorder="1"/>
    <xf numFmtId="0" fontId="13" fillId="0" borderId="41" xfId="42" applyBorder="1"/>
    <xf numFmtId="0" fontId="13" fillId="13" borderId="41" xfId="42" applyFill="1" applyBorder="1"/>
    <xf numFmtId="0" fontId="13" fillId="0" borderId="40" xfId="42" applyBorder="1"/>
    <xf numFmtId="0" fontId="29" fillId="0" borderId="0" xfId="58" applyFont="1"/>
    <xf numFmtId="0" fontId="0" fillId="0" borderId="0" xfId="0" applyFill="1" applyBorder="1"/>
    <xf numFmtId="0" fontId="29" fillId="0" borderId="0" xfId="58" applyFont="1" applyFill="1" applyBorder="1"/>
    <xf numFmtId="0" fontId="2" fillId="0" borderId="0" xfId="59" applyFill="1" applyBorder="1"/>
    <xf numFmtId="165" fontId="29" fillId="0" borderId="0" xfId="58" applyNumberFormat="1" applyFont="1" applyFill="1" applyBorder="1"/>
    <xf numFmtId="0" fontId="29" fillId="0" borderId="0" xfId="58" applyFont="1" applyFill="1" applyBorder="1" applyAlignment="1">
      <alignment horizontal="right"/>
    </xf>
    <xf numFmtId="0" fontId="50" fillId="0" borderId="0" xfId="58" applyFont="1" applyFill="1" applyBorder="1"/>
    <xf numFmtId="165" fontId="50" fillId="0" borderId="0" xfId="58" applyNumberFormat="1" applyFont="1" applyFill="1" applyBorder="1"/>
    <xf numFmtId="0" fontId="50" fillId="0" borderId="0" xfId="58" applyFont="1" applyFill="1" applyBorder="1" applyAlignment="1">
      <alignment horizontal="right"/>
    </xf>
    <xf numFmtId="165" fontId="29" fillId="0" borderId="0" xfId="29" applyFont="1" applyFill="1" applyBorder="1" applyAlignment="1" applyProtection="1"/>
    <xf numFmtId="0" fontId="29" fillId="0" borderId="0" xfId="58" applyFont="1" applyFill="1" applyBorder="1" applyAlignment="1">
      <alignment wrapText="1"/>
    </xf>
    <xf numFmtId="2" fontId="29" fillId="0" borderId="0" xfId="58" applyNumberFormat="1" applyFont="1" applyFill="1" applyBorder="1"/>
    <xf numFmtId="0" fontId="29" fillId="0" borderId="0" xfId="58" applyNumberFormat="1" applyFont="1" applyFill="1" applyBorder="1"/>
    <xf numFmtId="165" fontId="29" fillId="0" borderId="0" xfId="29" applyNumberFormat="1" applyFont="1" applyFill="1" applyBorder="1" applyAlignment="1" applyProtection="1"/>
    <xf numFmtId="0" fontId="29" fillId="0" borderId="0" xfId="60" applyNumberFormat="1" applyFont="1" applyFill="1" applyBorder="1" applyAlignment="1" applyProtection="1"/>
    <xf numFmtId="191" fontId="29" fillId="0" borderId="0" xfId="60" applyNumberFormat="1" applyFont="1" applyFill="1" applyBorder="1" applyAlignment="1" applyProtection="1"/>
    <xf numFmtId="11" fontId="29" fillId="0" borderId="0" xfId="60" applyNumberFormat="1" applyFont="1" applyFill="1" applyBorder="1" applyAlignment="1" applyProtection="1"/>
    <xf numFmtId="11" fontId="29" fillId="0" borderId="0" xfId="58" applyNumberFormat="1" applyFont="1" applyFill="1" applyBorder="1"/>
    <xf numFmtId="164" fontId="29" fillId="0" borderId="0" xfId="60" applyFont="1" applyFill="1" applyBorder="1" applyAlignment="1" applyProtection="1"/>
    <xf numFmtId="177" fontId="29" fillId="0" borderId="0" xfId="58" applyNumberFormat="1" applyFont="1" applyFill="1" applyBorder="1"/>
    <xf numFmtId="0" fontId="29" fillId="0" borderId="0" xfId="58" applyFont="1" applyFill="1" applyBorder="1" applyAlignment="1">
      <alignment horizontal="left"/>
    </xf>
    <xf numFmtId="0" fontId="23" fillId="0" borderId="0" xfId="58" applyFont="1" applyFill="1" applyBorder="1"/>
    <xf numFmtId="0" fontId="43" fillId="0" borderId="0" xfId="54" applyFill="1" applyBorder="1"/>
    <xf numFmtId="37" fontId="29" fillId="0" borderId="0" xfId="60" applyNumberFormat="1" applyFont="1" applyFill="1" applyBorder="1" applyAlignment="1" applyProtection="1"/>
    <xf numFmtId="0" fontId="34" fillId="0" borderId="0" xfId="59" applyFont="1" applyFill="1" applyBorder="1" applyAlignment="1">
      <alignment horizontal="right"/>
    </xf>
    <xf numFmtId="0" fontId="50" fillId="0" borderId="0" xfId="58" applyFont="1" applyFill="1" applyBorder="1" applyAlignment="1">
      <alignment horizontal="left"/>
    </xf>
    <xf numFmtId="0" fontId="11" fillId="8" borderId="72" xfId="0" applyFont="1" applyFill="1" applyBorder="1"/>
    <xf numFmtId="11" fontId="29" fillId="0" borderId="73" xfId="58" applyNumberFormat="1" applyFont="1" applyFill="1" applyBorder="1"/>
    <xf numFmtId="196" fontId="12" fillId="0" borderId="3" xfId="0" applyNumberFormat="1" applyFont="1" applyBorder="1" applyAlignment="1"/>
    <xf numFmtId="0" fontId="12" fillId="0" borderId="72" xfId="0" applyFont="1" applyBorder="1" applyAlignment="1"/>
    <xf numFmtId="0" fontId="11" fillId="7" borderId="3" xfId="0" applyFont="1" applyFill="1" applyBorder="1"/>
    <xf numFmtId="0" fontId="34" fillId="0" borderId="68" xfId="55" applyFont="1" applyBorder="1"/>
    <xf numFmtId="0" fontId="34" fillId="0" borderId="59" xfId="55" applyFont="1" applyBorder="1"/>
    <xf numFmtId="0" fontId="34" fillId="0" borderId="48" xfId="55" applyFont="1" applyBorder="1"/>
    <xf numFmtId="0" fontId="34" fillId="0" borderId="49" xfId="55" applyFont="1" applyBorder="1"/>
    <xf numFmtId="0" fontId="34" fillId="0" borderId="49" xfId="55" applyFont="1" applyBorder="1" applyAlignment="1">
      <alignment horizontal="right"/>
    </xf>
    <xf numFmtId="165" fontId="34" fillId="0" borderId="49" xfId="55" applyNumberFormat="1" applyFont="1" applyBorder="1"/>
    <xf numFmtId="11" fontId="29" fillId="0" borderId="3" xfId="57" applyNumberFormat="1" applyFont="1" applyFill="1" applyBorder="1"/>
    <xf numFmtId="11" fontId="12" fillId="0" borderId="3" xfId="7" applyNumberFormat="1" applyFont="1" applyBorder="1" applyAlignment="1" applyProtection="1"/>
    <xf numFmtId="0" fontId="12" fillId="0" borderId="72" xfId="0" applyFont="1" applyBorder="1" applyAlignment="1">
      <alignment wrapText="1"/>
    </xf>
    <xf numFmtId="0" fontId="12" fillId="0" borderId="3" xfId="0" applyFont="1" applyBorder="1" applyAlignment="1" applyProtection="1">
      <alignment wrapText="1"/>
    </xf>
    <xf numFmtId="0" fontId="12" fillId="0" borderId="3" xfId="0" applyFont="1" applyBorder="1" applyAlignment="1">
      <alignment wrapText="1"/>
    </xf>
    <xf numFmtId="196" fontId="12" fillId="0" borderId="3" xfId="0" applyNumberFormat="1" applyFont="1" applyBorder="1" applyAlignment="1">
      <alignment wrapText="1"/>
    </xf>
    <xf numFmtId="164" fontId="12" fillId="0" borderId="3" xfId="7" applyNumberFormat="1" applyFont="1" applyBorder="1" applyAlignment="1" applyProtection="1">
      <alignment wrapText="1"/>
    </xf>
    <xf numFmtId="11" fontId="29" fillId="0" borderId="73" xfId="58" applyNumberFormat="1" applyFont="1" applyFill="1" applyBorder="1" applyAlignment="1">
      <alignment wrapText="1"/>
    </xf>
    <xf numFmtId="0" fontId="11" fillId="0" borderId="21" xfId="0" applyFont="1" applyBorder="1" applyAlignment="1">
      <alignment wrapText="1"/>
    </xf>
    <xf numFmtId="0" fontId="11" fillId="0" borderId="0" xfId="0" applyFont="1" applyBorder="1" applyAlignment="1">
      <alignment wrapText="1"/>
    </xf>
    <xf numFmtId="0" fontId="0" fillId="0" borderId="21" xfId="0" applyBorder="1" applyAlignment="1">
      <alignment wrapText="1"/>
    </xf>
    <xf numFmtId="0" fontId="11" fillId="8" borderId="72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34" fillId="0" borderId="61" xfId="55" applyFont="1" applyBorder="1" applyAlignment="1">
      <alignment wrapText="1"/>
    </xf>
    <xf numFmtId="0" fontId="34" fillId="0" borderId="60" xfId="55" applyFont="1" applyBorder="1" applyAlignment="1">
      <alignment wrapText="1"/>
    </xf>
    <xf numFmtId="165" fontId="34" fillId="0" borderId="60" xfId="55" applyNumberFormat="1" applyFont="1" applyBorder="1" applyAlignment="1">
      <alignment wrapText="1"/>
    </xf>
    <xf numFmtId="3" fontId="0" fillId="0" borderId="3" xfId="0" applyNumberFormat="1" applyBorder="1" applyAlignment="1">
      <alignment wrapText="1"/>
    </xf>
    <xf numFmtId="2" fontId="12" fillId="0" borderId="3" xfId="7" applyNumberFormat="1" applyFont="1" applyBorder="1" applyAlignment="1" applyProtection="1">
      <alignment wrapText="1"/>
    </xf>
    <xf numFmtId="0" fontId="11" fillId="8" borderId="3" xfId="0" applyFont="1" applyFill="1" applyBorder="1" applyAlignment="1">
      <alignment horizontal="right" wrapText="1"/>
    </xf>
    <xf numFmtId="165" fontId="11" fillId="8" borderId="5" xfId="0" applyNumberFormat="1" applyFont="1" applyFill="1" applyBorder="1" applyAlignment="1">
      <alignment wrapText="1"/>
    </xf>
    <xf numFmtId="0" fontId="11" fillId="8" borderId="5" xfId="0" applyFont="1" applyFill="1" applyBorder="1" applyAlignment="1">
      <alignment horizontal="right" wrapText="1"/>
    </xf>
    <xf numFmtId="11" fontId="12" fillId="0" borderId="3" xfId="7" applyNumberFormat="1" applyFont="1" applyBorder="1" applyAlignment="1" applyProtection="1">
      <alignment wrapText="1"/>
    </xf>
    <xf numFmtId="0" fontId="11" fillId="7" borderId="16" xfId="0" applyFont="1" applyFill="1" applyBorder="1" applyAlignment="1"/>
    <xf numFmtId="0" fontId="11" fillId="7" borderId="0" xfId="0" applyFont="1" applyFill="1" applyBorder="1" applyAlignment="1"/>
    <xf numFmtId="37" fontId="12" fillId="0" borderId="16" xfId="0" applyNumberFormat="1" applyFont="1" applyBorder="1"/>
    <xf numFmtId="0" fontId="26" fillId="0" borderId="16" xfId="8" applyBorder="1"/>
    <xf numFmtId="165" fontId="11" fillId="7" borderId="16" xfId="0" applyNumberFormat="1" applyFont="1" applyFill="1" applyBorder="1" applyAlignment="1"/>
    <xf numFmtId="0" fontId="29" fillId="0" borderId="74" xfId="0" applyFont="1" applyFill="1" applyBorder="1"/>
    <xf numFmtId="170" fontId="29" fillId="0" borderId="74" xfId="36" applyFont="1" applyFill="1" applyBorder="1"/>
    <xf numFmtId="0" fontId="29" fillId="0" borderId="3" xfId="0" applyFont="1" applyFill="1" applyBorder="1"/>
    <xf numFmtId="0" fontId="11" fillId="8" borderId="16" xfId="0" applyFont="1" applyFill="1" applyBorder="1" applyAlignment="1"/>
    <xf numFmtId="0" fontId="26" fillId="0" borderId="0" xfId="8" applyFill="1"/>
    <xf numFmtId="0" fontId="11" fillId="8" borderId="2" xfId="0" applyFont="1" applyFill="1" applyBorder="1" applyAlignment="1"/>
    <xf numFmtId="0" fontId="11" fillId="8" borderId="27" xfId="0" applyFont="1" applyFill="1" applyBorder="1" applyAlignment="1"/>
    <xf numFmtId="0" fontId="11" fillId="8" borderId="5" xfId="0" applyFont="1" applyFill="1" applyBorder="1" applyAlignment="1"/>
    <xf numFmtId="0" fontId="11" fillId="8" borderId="3" xfId="0" applyFont="1" applyFill="1" applyBorder="1" applyAlignment="1"/>
    <xf numFmtId="43" fontId="12" fillId="0" borderId="3" xfId="0" applyNumberFormat="1" applyFont="1" applyBorder="1" applyAlignment="1"/>
    <xf numFmtId="177" fontId="12" fillId="0" borderId="3" xfId="7" applyNumberFormat="1" applyFont="1" applyBorder="1" applyAlignment="1" applyProtection="1"/>
    <xf numFmtId="165" fontId="11" fillId="8" borderId="5" xfId="0" applyNumberFormat="1" applyFont="1" applyFill="1" applyBorder="1" applyAlignment="1"/>
    <xf numFmtId="0" fontId="11" fillId="8" borderId="22" xfId="0" applyFont="1" applyFill="1" applyBorder="1" applyAlignment="1"/>
    <xf numFmtId="0" fontId="29" fillId="0" borderId="3" xfId="0" applyFont="1" applyFill="1" applyBorder="1" applyAlignment="1">
      <alignment wrapText="1"/>
    </xf>
    <xf numFmtId="0" fontId="29" fillId="0" borderId="3" xfId="0" applyNumberFormat="1" applyFont="1" applyFill="1" applyBorder="1" applyAlignment="1">
      <alignment wrapText="1"/>
    </xf>
    <xf numFmtId="170" fontId="29" fillId="0" borderId="3" xfId="36" applyFont="1" applyFill="1" applyBorder="1" applyAlignment="1">
      <alignment wrapText="1"/>
    </xf>
    <xf numFmtId="165" fontId="12" fillId="0" borderId="16" xfId="7" applyNumberFormat="1" applyFont="1" applyBorder="1" applyAlignment="1" applyProtection="1">
      <alignment wrapText="1"/>
    </xf>
    <xf numFmtId="0" fontId="29" fillId="0" borderId="3" xfId="42" applyFont="1" applyBorder="1" applyAlignment="1">
      <alignment wrapText="1"/>
    </xf>
    <xf numFmtId="170" fontId="29" fillId="0" borderId="74" xfId="36" applyFont="1" applyFill="1" applyBorder="1" applyAlignment="1">
      <alignment wrapText="1"/>
    </xf>
    <xf numFmtId="172" fontId="29" fillId="0" borderId="3" xfId="0" applyNumberFormat="1" applyFont="1" applyFill="1" applyBorder="1" applyAlignment="1">
      <alignment wrapText="1"/>
    </xf>
    <xf numFmtId="170" fontId="34" fillId="0" borderId="45" xfId="36" applyFont="1" applyBorder="1" applyAlignment="1">
      <alignment wrapText="1"/>
    </xf>
    <xf numFmtId="165" fontId="11" fillId="8" borderId="75" xfId="0" applyNumberFormat="1" applyFont="1" applyFill="1" applyBorder="1" applyAlignment="1"/>
    <xf numFmtId="0" fontId="0" fillId="0" borderId="32" xfId="0" applyBorder="1"/>
    <xf numFmtId="0" fontId="11" fillId="8" borderId="51" xfId="0" applyFont="1" applyFill="1" applyBorder="1" applyAlignment="1"/>
    <xf numFmtId="0" fontId="11" fillId="0" borderId="76" xfId="0" applyFont="1" applyBorder="1"/>
    <xf numFmtId="0" fontId="11" fillId="8" borderId="77" xfId="0" applyFont="1" applyFill="1" applyBorder="1" applyAlignment="1"/>
    <xf numFmtId="0" fontId="12" fillId="0" borderId="55" xfId="0" applyFont="1" applyBorder="1" applyAlignment="1"/>
    <xf numFmtId="0" fontId="11" fillId="8" borderId="55" xfId="0" applyFont="1" applyFill="1" applyBorder="1" applyAlignment="1"/>
    <xf numFmtId="0" fontId="29" fillId="0" borderId="55" xfId="0" applyFont="1" applyFill="1" applyBorder="1"/>
    <xf numFmtId="0" fontId="12" fillId="0" borderId="55" xfId="0" applyFont="1" applyBorder="1" applyAlignment="1">
      <alignment wrapText="1"/>
    </xf>
    <xf numFmtId="43" fontId="12" fillId="0" borderId="3" xfId="0" applyNumberFormat="1" applyFont="1" applyBorder="1" applyAlignment="1">
      <alignment wrapText="1"/>
    </xf>
    <xf numFmtId="177" fontId="12" fillId="0" borderId="3" xfId="7" applyNumberFormat="1" applyFont="1" applyBorder="1" applyAlignment="1" applyProtection="1">
      <alignment wrapText="1"/>
    </xf>
    <xf numFmtId="168" fontId="12" fillId="0" borderId="3" xfId="7" applyNumberFormat="1" applyFont="1" applyBorder="1" applyAlignment="1" applyProtection="1">
      <alignment wrapText="1"/>
    </xf>
    <xf numFmtId="0" fontId="29" fillId="0" borderId="55" xfId="0" applyFont="1" applyFill="1" applyBorder="1" applyAlignment="1">
      <alignment wrapText="1"/>
    </xf>
    <xf numFmtId="170" fontId="29" fillId="0" borderId="3" xfId="3" applyFont="1" applyFill="1" applyBorder="1" applyAlignment="1">
      <alignment wrapText="1"/>
    </xf>
    <xf numFmtId="0" fontId="12" fillId="0" borderId="22" xfId="0" applyFont="1" applyBorder="1" applyAlignment="1">
      <alignment wrapText="1"/>
    </xf>
    <xf numFmtId="0" fontId="0" fillId="0" borderId="45" xfId="0" applyBorder="1" applyAlignment="1">
      <alignment wrapText="1"/>
    </xf>
    <xf numFmtId="0" fontId="11" fillId="7" borderId="51" xfId="0" applyFont="1" applyFill="1" applyBorder="1" applyAlignment="1"/>
    <xf numFmtId="0" fontId="29" fillId="0" borderId="78" xfId="0" applyFont="1" applyFill="1" applyBorder="1"/>
    <xf numFmtId="0" fontId="29" fillId="0" borderId="78" xfId="0" applyFont="1" applyFill="1" applyBorder="1" applyAlignment="1">
      <alignment wrapText="1"/>
    </xf>
    <xf numFmtId="0" fontId="29" fillId="0" borderId="43" xfId="0" applyFont="1" applyFill="1" applyBorder="1"/>
    <xf numFmtId="0" fontId="12" fillId="0" borderId="0" xfId="7" applyNumberFormat="1" applyFont="1" applyBorder="1" applyAlignment="1"/>
    <xf numFmtId="0" fontId="11" fillId="0" borderId="43" xfId="0" applyFont="1" applyBorder="1"/>
    <xf numFmtId="165" fontId="12" fillId="0" borderId="74" xfId="7" applyNumberFormat="1" applyFont="1" applyBorder="1" applyAlignment="1" applyProtection="1"/>
    <xf numFmtId="165" fontId="11" fillId="8" borderId="3" xfId="0" applyNumberFormat="1" applyFont="1" applyFill="1" applyBorder="1" applyAlignment="1"/>
    <xf numFmtId="49" fontId="26" fillId="0" borderId="3" xfId="8" applyNumberFormat="1" applyBorder="1" applyAlignment="1" applyProtection="1"/>
    <xf numFmtId="49" fontId="26" fillId="10" borderId="3" xfId="8" applyNumberFormat="1" applyFill="1" applyBorder="1"/>
    <xf numFmtId="0" fontId="26" fillId="10" borderId="3" xfId="8" applyFill="1" applyBorder="1"/>
    <xf numFmtId="0" fontId="23" fillId="0" borderId="79" xfId="30" applyFont="1" applyFill="1" applyBorder="1" applyAlignment="1">
      <alignment wrapText="1"/>
    </xf>
    <xf numFmtId="39" fontId="29" fillId="0" borderId="3" xfId="36" applyNumberFormat="1" applyFont="1" applyFill="1" applyBorder="1"/>
    <xf numFmtId="37" fontId="29" fillId="0" borderId="3" xfId="36" applyNumberFormat="1" applyFont="1" applyFill="1" applyBorder="1"/>
    <xf numFmtId="0" fontId="11" fillId="8" borderId="72" xfId="0" applyFont="1" applyFill="1" applyBorder="1" applyAlignment="1"/>
    <xf numFmtId="165" fontId="29" fillId="0" borderId="16" xfId="7" applyNumberFormat="1" applyFont="1" applyBorder="1" applyAlignment="1" applyProtection="1">
      <alignment wrapText="1"/>
    </xf>
    <xf numFmtId="0" fontId="29" fillId="0" borderId="79" xfId="30" applyFont="1" applyFill="1" applyBorder="1" applyAlignment="1">
      <alignment wrapText="1"/>
    </xf>
    <xf numFmtId="170" fontId="34" fillId="0" borderId="79" xfId="36" applyFont="1" applyBorder="1" applyAlignment="1">
      <alignment wrapText="1"/>
    </xf>
    <xf numFmtId="165" fontId="12" fillId="0" borderId="3" xfId="7" applyNumberFormat="1" applyFont="1" applyFill="1" applyBorder="1" applyAlignment="1" applyProtection="1">
      <alignment wrapText="1"/>
    </xf>
    <xf numFmtId="0" fontId="0" fillId="0" borderId="79" xfId="0" applyBorder="1" applyAlignment="1">
      <alignment wrapText="1"/>
    </xf>
    <xf numFmtId="0" fontId="29" fillId="0" borderId="3" xfId="62" applyFont="1" applyFill="1" applyBorder="1"/>
    <xf numFmtId="11" fontId="29" fillId="0" borderId="3" xfId="62" applyNumberFormat="1" applyFont="1" applyFill="1" applyBorder="1"/>
    <xf numFmtId="0" fontId="1" fillId="0" borderId="16" xfId="7" applyNumberFormat="1" applyFont="1" applyBorder="1" applyAlignment="1">
      <alignment wrapText="1"/>
    </xf>
    <xf numFmtId="0" fontId="12" fillId="0" borderId="3" xfId="62" applyNumberFormat="1" applyFont="1" applyFill="1" applyBorder="1"/>
    <xf numFmtId="0" fontId="12" fillId="0" borderId="3" xfId="62" applyFont="1" applyFill="1" applyBorder="1"/>
    <xf numFmtId="0" fontId="39" fillId="17" borderId="62" xfId="62" applyFont="1" applyFill="1" applyBorder="1"/>
    <xf numFmtId="0" fontId="34" fillId="0" borderId="0" xfId="62" applyFont="1" applyBorder="1"/>
    <xf numFmtId="0" fontId="39" fillId="17" borderId="2" xfId="62" applyFont="1" applyFill="1" applyBorder="1" applyAlignment="1">
      <alignment horizontal="left"/>
    </xf>
    <xf numFmtId="0" fontId="34" fillId="0" borderId="0" xfId="62" applyFont="1" applyBorder="1" applyAlignment="1">
      <alignment horizontal="right"/>
    </xf>
    <xf numFmtId="0" fontId="39" fillId="17" borderId="2" xfId="62" applyFont="1" applyFill="1" applyBorder="1"/>
    <xf numFmtId="165" fontId="34" fillId="0" borderId="0" xfId="62" applyNumberFormat="1" applyFont="1" applyBorder="1"/>
    <xf numFmtId="0" fontId="39" fillId="17" borderId="63" xfId="62" applyFont="1" applyFill="1" applyBorder="1"/>
    <xf numFmtId="0" fontId="39" fillId="17" borderId="64" xfId="62" applyFont="1" applyFill="1" applyBorder="1"/>
    <xf numFmtId="37" fontId="34" fillId="0" borderId="0" xfId="62" applyNumberFormat="1" applyFont="1" applyBorder="1"/>
    <xf numFmtId="0" fontId="34" fillId="0" borderId="44" xfId="62" applyFont="1" applyBorder="1"/>
    <xf numFmtId="0" fontId="39" fillId="17" borderId="57" xfId="62" applyFont="1" applyFill="1" applyBorder="1"/>
    <xf numFmtId="0" fontId="39" fillId="17" borderId="58" xfId="62" applyFont="1" applyFill="1" applyBorder="1"/>
    <xf numFmtId="0" fontId="34" fillId="0" borderId="68" xfId="62" applyFont="1" applyBorder="1"/>
    <xf numFmtId="0" fontId="34" fillId="0" borderId="70" xfId="62" applyFont="1" applyBorder="1"/>
    <xf numFmtId="165" fontId="34" fillId="0" borderId="60" xfId="62" applyNumberFormat="1" applyFont="1" applyBorder="1"/>
    <xf numFmtId="190" fontId="34" fillId="0" borderId="60" xfId="62" applyNumberFormat="1" applyFont="1" applyBorder="1"/>
    <xf numFmtId="0" fontId="34" fillId="0" borderId="60" xfId="62" applyFont="1" applyBorder="1"/>
    <xf numFmtId="164" fontId="34" fillId="0" borderId="60" xfId="62" applyNumberFormat="1" applyFont="1" applyBorder="1"/>
    <xf numFmtId="11" fontId="34" fillId="0" borderId="60" xfId="62" applyNumberFormat="1" applyFont="1" applyBorder="1"/>
    <xf numFmtId="191" fontId="34" fillId="0" borderId="60" xfId="62" applyNumberFormat="1" applyFont="1" applyBorder="1"/>
    <xf numFmtId="0" fontId="34" fillId="0" borderId="60" xfId="62" applyNumberFormat="1" applyFont="1" applyBorder="1"/>
    <xf numFmtId="0" fontId="39" fillId="0" borderId="44" xfId="62" applyFont="1" applyBorder="1"/>
    <xf numFmtId="0" fontId="39" fillId="0" borderId="0" xfId="62" applyFont="1" applyBorder="1"/>
    <xf numFmtId="0" fontId="39" fillId="17" borderId="61" xfId="62" applyFont="1" applyFill="1" applyBorder="1" applyAlignment="1">
      <alignment horizontal="right"/>
    </xf>
    <xf numFmtId="192" fontId="39" fillId="17" borderId="60" xfId="62" applyNumberFormat="1" applyFont="1" applyFill="1" applyBorder="1"/>
    <xf numFmtId="0" fontId="34" fillId="0" borderId="59" xfId="62" applyFont="1" applyBorder="1"/>
    <xf numFmtId="165" fontId="39" fillId="17" borderId="60" xfId="62" applyNumberFormat="1" applyFont="1" applyFill="1" applyBorder="1"/>
    <xf numFmtId="0" fontId="34" fillId="0" borderId="48" xfId="62" applyFont="1" applyBorder="1"/>
    <xf numFmtId="0" fontId="34" fillId="0" borderId="49" xfId="62" applyFont="1" applyBorder="1"/>
    <xf numFmtId="0" fontId="34" fillId="0" borderId="49" xfId="62" applyFont="1" applyBorder="1" applyAlignment="1">
      <alignment horizontal="right"/>
    </xf>
    <xf numFmtId="165" fontId="34" fillId="0" borderId="49" xfId="62" applyNumberFormat="1" applyFont="1" applyBorder="1"/>
    <xf numFmtId="0" fontId="34" fillId="0" borderId="0" xfId="62" applyFont="1"/>
    <xf numFmtId="0" fontId="1" fillId="0" borderId="0" xfId="62"/>
    <xf numFmtId="0" fontId="29" fillId="0" borderId="80" xfId="42" applyFont="1" applyFill="1" applyBorder="1"/>
    <xf numFmtId="170" fontId="29" fillId="0" borderId="81" xfId="3" applyFont="1" applyFill="1" applyBorder="1"/>
    <xf numFmtId="0" fontId="29" fillId="0" borderId="81" xfId="42" applyFont="1" applyFill="1" applyBorder="1"/>
    <xf numFmtId="43" fontId="29" fillId="0" borderId="81" xfId="41" applyFont="1" applyFill="1" applyBorder="1"/>
    <xf numFmtId="11" fontId="29" fillId="0" borderId="81" xfId="57" applyNumberFormat="1" applyFont="1" applyFill="1" applyBorder="1"/>
    <xf numFmtId="11" fontId="29" fillId="0" borderId="81" xfId="41" applyNumberFormat="1" applyFont="1" applyFill="1" applyBorder="1"/>
    <xf numFmtId="0" fontId="29" fillId="0" borderId="81" xfId="41" applyNumberFormat="1" applyFont="1" applyFill="1" applyBorder="1"/>
    <xf numFmtId="170" fontId="29" fillId="0" borderId="81" xfId="36" applyNumberFormat="1" applyFont="1" applyFill="1" applyBorder="1"/>
    <xf numFmtId="0" fontId="13" fillId="0" borderId="80" xfId="42" applyBorder="1"/>
    <xf numFmtId="0" fontId="29" fillId="0" borderId="81" xfId="30" applyFont="1" applyFill="1" applyBorder="1" applyAlignment="1">
      <alignment wrapText="1"/>
    </xf>
    <xf numFmtId="0" fontId="13" fillId="0" borderId="81" xfId="42" applyBorder="1" applyAlignment="1">
      <alignment wrapText="1"/>
    </xf>
    <xf numFmtId="0" fontId="13" fillId="0" borderId="81" xfId="42" applyBorder="1"/>
    <xf numFmtId="170" fontId="29" fillId="0" borderId="81" xfId="3" applyNumberFormat="1" applyFont="1" applyFill="1" applyBorder="1" applyAlignment="1"/>
    <xf numFmtId="0" fontId="29" fillId="0" borderId="81" xfId="42" applyFont="1" applyFill="1" applyBorder="1" applyAlignment="1">
      <alignment wrapText="1"/>
    </xf>
    <xf numFmtId="1" fontId="29" fillId="0" borderId="81" xfId="42" applyNumberFormat="1" applyFont="1" applyFill="1" applyBorder="1"/>
    <xf numFmtId="0" fontId="23" fillId="0" borderId="81" xfId="30" applyFont="1" applyFill="1" applyBorder="1" applyAlignment="1">
      <alignment wrapText="1"/>
    </xf>
    <xf numFmtId="0" fontId="11" fillId="8" borderId="81" xfId="0" applyFont="1" applyFill="1" applyBorder="1"/>
    <xf numFmtId="0" fontId="12" fillId="0" borderId="82" xfId="0" applyFont="1" applyBorder="1" applyAlignment="1"/>
    <xf numFmtId="0" fontId="12" fillId="0" borderId="81" xfId="0" applyFont="1" applyBorder="1" applyAlignment="1" applyProtection="1"/>
    <xf numFmtId="0" fontId="12" fillId="0" borderId="81" xfId="0" applyFont="1" applyBorder="1" applyAlignment="1"/>
    <xf numFmtId="165" fontId="12" fillId="0" borderId="81" xfId="7" applyNumberFormat="1" applyFont="1" applyBorder="1" applyAlignment="1" applyProtection="1"/>
    <xf numFmtId="196" fontId="12" fillId="0" borderId="81" xfId="0" applyNumberFormat="1" applyFont="1" applyBorder="1" applyAlignment="1"/>
    <xf numFmtId="164" fontId="12" fillId="0" borderId="81" xfId="7" applyNumberFormat="1" applyFont="1" applyBorder="1" applyAlignment="1" applyProtection="1"/>
    <xf numFmtId="11" fontId="12" fillId="0" borderId="81" xfId="7" applyNumberFormat="1" applyFont="1" applyBorder="1" applyAlignment="1" applyProtection="1"/>
    <xf numFmtId="3" fontId="0" fillId="0" borderId="81" xfId="0" applyNumberFormat="1" applyBorder="1" applyAlignment="1"/>
    <xf numFmtId="2" fontId="12" fillId="0" borderId="81" xfId="7" applyNumberFormat="1" applyFont="1" applyBorder="1" applyAlignment="1" applyProtection="1"/>
    <xf numFmtId="0" fontId="11" fillId="8" borderId="81" xfId="0" applyFont="1" applyFill="1" applyBorder="1" applyAlignment="1">
      <alignment horizontal="right"/>
    </xf>
    <xf numFmtId="0" fontId="11" fillId="8" borderId="82" xfId="0" applyFont="1" applyFill="1" applyBorder="1"/>
    <xf numFmtId="0" fontId="34" fillId="0" borderId="61" xfId="62" applyFont="1" applyBorder="1"/>
    <xf numFmtId="0" fontId="34" fillId="0" borderId="0" xfId="64" applyFont="1" applyFill="1" applyBorder="1" applyAlignment="1">
      <alignment horizontal="right"/>
    </xf>
    <xf numFmtId="0" fontId="1" fillId="0" borderId="0" xfId="64" applyFill="1" applyBorder="1"/>
    <xf numFmtId="0" fontId="12" fillId="0" borderId="82" xfId="0" applyFont="1" applyBorder="1" applyAlignment="1">
      <alignment wrapText="1"/>
    </xf>
    <xf numFmtId="0" fontId="12" fillId="0" borderId="81" xfId="0" applyFont="1" applyBorder="1" applyAlignment="1" applyProtection="1">
      <alignment wrapText="1"/>
    </xf>
    <xf numFmtId="0" fontId="12" fillId="0" borderId="81" xfId="0" applyFont="1" applyBorder="1" applyAlignment="1">
      <alignment wrapText="1"/>
    </xf>
    <xf numFmtId="165" fontId="12" fillId="0" borderId="81" xfId="7" applyNumberFormat="1" applyFont="1" applyBorder="1" applyAlignment="1" applyProtection="1">
      <alignment wrapText="1"/>
    </xf>
    <xf numFmtId="196" fontId="12" fillId="0" borderId="81" xfId="0" applyNumberFormat="1" applyFont="1" applyBorder="1" applyAlignment="1">
      <alignment wrapText="1"/>
    </xf>
    <xf numFmtId="164" fontId="12" fillId="0" borderId="81" xfId="7" applyNumberFormat="1" applyFont="1" applyBorder="1" applyAlignment="1" applyProtection="1">
      <alignment wrapText="1"/>
    </xf>
    <xf numFmtId="11" fontId="29" fillId="0" borderId="28" xfId="58" applyNumberFormat="1" applyFont="1" applyFill="1" applyBorder="1" applyAlignment="1">
      <alignment wrapText="1"/>
    </xf>
    <xf numFmtId="11" fontId="29" fillId="0" borderId="81" xfId="57" applyNumberFormat="1" applyFont="1" applyFill="1" applyBorder="1" applyAlignment="1">
      <alignment wrapText="1"/>
    </xf>
    <xf numFmtId="11" fontId="12" fillId="0" borderId="81" xfId="7" applyNumberFormat="1" applyFont="1" applyBorder="1" applyAlignment="1" applyProtection="1">
      <alignment wrapText="1"/>
    </xf>
    <xf numFmtId="3" fontId="0" fillId="0" borderId="81" xfId="0" applyNumberFormat="1" applyBorder="1" applyAlignment="1">
      <alignment wrapText="1"/>
    </xf>
    <xf numFmtId="2" fontId="12" fillId="0" borderId="81" xfId="7" applyNumberFormat="1" applyFont="1" applyBorder="1" applyAlignment="1" applyProtection="1">
      <alignment wrapText="1"/>
    </xf>
    <xf numFmtId="0" fontId="34" fillId="0" borderId="61" xfId="62" applyFont="1" applyBorder="1" applyAlignment="1">
      <alignment wrapText="1"/>
    </xf>
    <xf numFmtId="0" fontId="34" fillId="0" borderId="60" xfId="62" applyFont="1" applyBorder="1" applyAlignment="1">
      <alignment wrapText="1"/>
    </xf>
    <xf numFmtId="165" fontId="34" fillId="0" borderId="60" xfId="62" applyNumberFormat="1" applyFont="1" applyBorder="1" applyAlignment="1">
      <alignment wrapText="1"/>
    </xf>
    <xf numFmtId="0" fontId="19" fillId="9" borderId="81" xfId="1" applyFont="1" applyFill="1" applyBorder="1" applyProtection="1">
      <protection locked="0"/>
    </xf>
    <xf numFmtId="18" fontId="19" fillId="9" borderId="81" xfId="1" applyNumberFormat="1" applyFont="1" applyFill="1" applyBorder="1" applyAlignment="1" applyProtection="1">
      <protection locked="0"/>
    </xf>
    <xf numFmtId="0" fontId="26" fillId="9" borderId="81" xfId="8" applyFill="1" applyBorder="1" applyAlignment="1">
      <alignment horizontal="left"/>
    </xf>
    <xf numFmtId="172" fontId="19" fillId="9" borderId="81" xfId="5" applyNumberFormat="1" applyFont="1" applyFill="1" applyBorder="1" applyProtection="1">
      <protection locked="0"/>
    </xf>
    <xf numFmtId="37" fontId="19" fillId="9" borderId="81" xfId="1" applyNumberFormat="1" applyFont="1" applyFill="1" applyBorder="1" applyAlignment="1" applyProtection="1">
      <alignment horizontal="center"/>
      <protection locked="0"/>
    </xf>
    <xf numFmtId="172" fontId="19" fillId="9" borderId="81" xfId="1" applyNumberFormat="1" applyFont="1" applyFill="1" applyBorder="1" applyAlignment="1" applyProtection="1">
      <alignment horizontal="center"/>
      <protection locked="0"/>
    </xf>
    <xf numFmtId="172" fontId="19" fillId="9" borderId="81" xfId="1" applyNumberFormat="1" applyFont="1" applyFill="1" applyBorder="1" applyAlignment="1">
      <alignment horizontal="right"/>
    </xf>
    <xf numFmtId="0" fontId="19" fillId="9" borderId="81" xfId="1" applyFont="1" applyFill="1" applyBorder="1" applyAlignment="1">
      <alignment horizontal="center"/>
    </xf>
    <xf numFmtId="0" fontId="19" fillId="10" borderId="81" xfId="1" applyFont="1" applyFill="1" applyBorder="1" applyProtection="1">
      <protection locked="0"/>
    </xf>
    <xf numFmtId="18" fontId="19" fillId="10" borderId="81" xfId="1" applyNumberFormat="1" applyFont="1" applyFill="1" applyBorder="1" applyAlignment="1" applyProtection="1">
      <protection locked="0"/>
    </xf>
    <xf numFmtId="172" fontId="19" fillId="10" borderId="81" xfId="5" applyNumberFormat="1" applyFont="1" applyFill="1" applyBorder="1" applyProtection="1">
      <protection locked="0"/>
    </xf>
    <xf numFmtId="37" fontId="19" fillId="10" borderId="81" xfId="1" applyNumberFormat="1" applyFont="1" applyFill="1" applyBorder="1" applyAlignment="1" applyProtection="1">
      <alignment horizontal="center"/>
      <protection locked="0"/>
    </xf>
    <xf numFmtId="172" fontId="19" fillId="10" borderId="81" xfId="1" applyNumberFormat="1" applyFont="1" applyFill="1" applyBorder="1" applyAlignment="1" applyProtection="1">
      <alignment horizontal="center"/>
      <protection locked="0"/>
    </xf>
    <xf numFmtId="172" fontId="19" fillId="10" borderId="81" xfId="1" applyNumberFormat="1" applyFont="1" applyFill="1" applyBorder="1" applyAlignment="1">
      <alignment horizontal="right"/>
    </xf>
    <xf numFmtId="0" fontId="19" fillId="10" borderId="81" xfId="1" applyFont="1" applyFill="1" applyBorder="1" applyAlignment="1">
      <alignment horizontal="center"/>
    </xf>
    <xf numFmtId="0" fontId="19" fillId="10" borderId="81" xfId="1" applyFont="1" applyFill="1" applyBorder="1" applyAlignment="1" applyProtection="1">
      <alignment horizontal="center"/>
      <protection locked="0"/>
    </xf>
    <xf numFmtId="0" fontId="19" fillId="10" borderId="37" xfId="1" applyFont="1" applyFill="1" applyBorder="1" applyProtection="1">
      <protection locked="0"/>
    </xf>
    <xf numFmtId="0" fontId="12" fillId="0" borderId="81" xfId="0" applyFont="1" applyBorder="1"/>
    <xf numFmtId="37" fontId="12" fillId="0" borderId="81" xfId="0" applyNumberFormat="1" applyFont="1" applyBorder="1"/>
    <xf numFmtId="49" fontId="26" fillId="0" borderId="81" xfId="8" applyNumberFormat="1" applyBorder="1" applyAlignment="1" applyProtection="1"/>
    <xf numFmtId="0" fontId="29" fillId="0" borderId="81" xfId="62" applyFont="1" applyFill="1" applyBorder="1"/>
    <xf numFmtId="170" fontId="29" fillId="0" borderId="81" xfId="36" applyFont="1" applyFill="1" applyBorder="1"/>
    <xf numFmtId="11" fontId="29" fillId="0" borderId="81" xfId="62" applyNumberFormat="1" applyFont="1" applyFill="1" applyBorder="1"/>
    <xf numFmtId="195" fontId="29" fillId="0" borderId="81" xfId="41" applyNumberFormat="1" applyFont="1" applyFill="1" applyBorder="1"/>
    <xf numFmtId="2" fontId="29" fillId="0" borderId="81" xfId="36" applyNumberFormat="1" applyFont="1" applyFill="1" applyBorder="1"/>
    <xf numFmtId="0" fontId="12" fillId="0" borderId="81" xfId="30" applyFont="1" applyFill="1" applyBorder="1" applyAlignment="1">
      <alignment wrapText="1"/>
    </xf>
    <xf numFmtId="0" fontId="12" fillId="0" borderId="81" xfId="62" applyNumberFormat="1" applyFont="1" applyFill="1" applyBorder="1"/>
    <xf numFmtId="170" fontId="12" fillId="0" borderId="81" xfId="36" applyFont="1" applyFill="1" applyBorder="1"/>
    <xf numFmtId="0" fontId="12" fillId="0" borderId="81" xfId="62" applyFont="1" applyFill="1" applyBorder="1"/>
    <xf numFmtId="0" fontId="39" fillId="17" borderId="65" xfId="62" applyFont="1" applyFill="1" applyBorder="1"/>
    <xf numFmtId="0" fontId="39" fillId="17" borderId="66" xfId="62" applyFont="1" applyFill="1" applyBorder="1"/>
    <xf numFmtId="0" fontId="34" fillId="0" borderId="80" xfId="62" applyFont="1" applyBorder="1"/>
    <xf numFmtId="0" fontId="34" fillId="0" borderId="81" xfId="62" applyFont="1" applyBorder="1"/>
    <xf numFmtId="165" fontId="34" fillId="0" borderId="81" xfId="62" applyNumberFormat="1" applyFont="1" applyBorder="1"/>
    <xf numFmtId="44" fontId="34" fillId="0" borderId="81" xfId="61" applyFont="1" applyBorder="1"/>
    <xf numFmtId="0" fontId="29" fillId="0" borderId="81" xfId="0" applyFont="1" applyBorder="1"/>
    <xf numFmtId="49" fontId="26" fillId="10" borderId="0" xfId="8" applyNumberFormat="1" applyFill="1"/>
    <xf numFmtId="43" fontId="34" fillId="0" borderId="3" xfId="9" applyNumberFormat="1" applyFont="1" applyFill="1" applyBorder="1" applyAlignment="1"/>
    <xf numFmtId="11" fontId="34" fillId="0" borderId="3" xfId="9" applyNumberFormat="1" applyFont="1" applyBorder="1" applyAlignment="1">
      <alignment wrapText="1"/>
    </xf>
    <xf numFmtId="0" fontId="38" fillId="0" borderId="6" xfId="30" applyFont="1" applyFill="1" applyBorder="1" applyAlignment="1">
      <alignment wrapText="1"/>
    </xf>
    <xf numFmtId="11" fontId="44" fillId="0" borderId="16" xfId="7" applyNumberFormat="1" applyFont="1" applyBorder="1" applyAlignment="1" applyProtection="1"/>
    <xf numFmtId="177" fontId="13" fillId="0" borderId="3" xfId="42" applyNumberFormat="1" applyBorder="1"/>
    <xf numFmtId="0" fontId="34" fillId="0" borderId="60" xfId="56" applyFont="1" applyBorder="1" applyAlignment="1">
      <alignment wrapText="1"/>
    </xf>
    <xf numFmtId="174" fontId="29" fillId="0" borderId="3" xfId="28" applyFont="1" applyBorder="1" applyAlignment="1">
      <alignment vertical="center" wrapText="1"/>
    </xf>
    <xf numFmtId="174" fontId="33" fillId="0" borderId="3" xfId="28" applyBorder="1">
      <alignment vertical="center" wrapText="1"/>
    </xf>
  </cellXfs>
  <cellStyles count="65">
    <cellStyle name="Comma 2" xfId="5" xr:uid="{00000000-0005-0000-0000-000000000000}"/>
    <cellStyle name="Cost Table Plain" xfId="10" xr:uid="{00000000-0005-0000-0000-000001000000}"/>
    <cellStyle name="Cost_Green" xfId="4" xr:uid="{00000000-0005-0000-0000-000002000000}"/>
    <cellStyle name="Cost_Red" xfId="43" xr:uid="{00000000-0005-0000-0000-000003000000}"/>
    <cellStyle name="Cost_Yellow" xfId="11" xr:uid="{00000000-0005-0000-0000-000004000000}"/>
    <cellStyle name="Currency 2" xfId="2" xr:uid="{00000000-0005-0000-0000-000005000000}"/>
    <cellStyle name="Currency 2 2" xfId="12" xr:uid="{00000000-0005-0000-0000-000006000000}"/>
    <cellStyle name="Good 2" xfId="13" xr:uid="{00000000-0005-0000-0000-000007000000}"/>
    <cellStyle name="Lien hypertexte" xfId="8" builtinId="8"/>
    <cellStyle name="Lien hypertexte 2" xfId="54" xr:uid="{00000000-0005-0000-0000-000009000000}"/>
    <cellStyle name="Milliers" xfId="50" builtinId="3"/>
    <cellStyle name="Milliers 2" xfId="35" xr:uid="{00000000-0005-0000-0000-00000B000000}"/>
    <cellStyle name="Milliers 2 2" xfId="41" xr:uid="{00000000-0005-0000-0000-00000C000000}"/>
    <cellStyle name="Milliers 3" xfId="37" xr:uid="{00000000-0005-0000-0000-00000D000000}"/>
    <cellStyle name="Milliers 3 2" xfId="45" xr:uid="{00000000-0005-0000-0000-00000E000000}"/>
    <cellStyle name="Milliers 3 4" xfId="57" xr:uid="{00000000-0005-0000-0000-00000F000000}"/>
    <cellStyle name="Milliers 4" xfId="60" xr:uid="{00000000-0005-0000-0000-000010000000}"/>
    <cellStyle name="Monétaire" xfId="61" builtinId="4"/>
    <cellStyle name="Monétaire 10" xfId="36" xr:uid="{00000000-0005-0000-0000-000012000000}"/>
    <cellStyle name="Monétaire 10 2" xfId="29" xr:uid="{00000000-0005-0000-0000-000013000000}"/>
    <cellStyle name="Monétaire 2" xfId="3" xr:uid="{00000000-0005-0000-0000-000014000000}"/>
    <cellStyle name="Monétaire 3" xfId="14" xr:uid="{00000000-0005-0000-0000-000015000000}"/>
    <cellStyle name="Monétaire 4" xfId="40" xr:uid="{00000000-0005-0000-0000-000016000000}"/>
    <cellStyle name="Monétaire 4 3" xfId="44" xr:uid="{00000000-0005-0000-0000-000017000000}"/>
    <cellStyle name="Normal" xfId="0" builtinId="0"/>
    <cellStyle name="Normal 2" xfId="1" xr:uid="{00000000-0005-0000-0000-000019000000}"/>
    <cellStyle name="Normal 2 2" xfId="15" xr:uid="{00000000-0005-0000-0000-00001A000000}"/>
    <cellStyle name="Normal 2 2 2" xfId="16" xr:uid="{00000000-0005-0000-0000-00001B000000}"/>
    <cellStyle name="Normal 2 2 2 2" xfId="17" xr:uid="{00000000-0005-0000-0000-00001C000000}"/>
    <cellStyle name="Normal 2 2 2 2 2" xfId="18" xr:uid="{00000000-0005-0000-0000-00001D000000}"/>
    <cellStyle name="Normal 2 2 2 3" xfId="19" xr:uid="{00000000-0005-0000-0000-00001E000000}"/>
    <cellStyle name="Normal 2 2 3" xfId="20" xr:uid="{00000000-0005-0000-0000-00001F000000}"/>
    <cellStyle name="Normal 2 2 4" xfId="21" xr:uid="{00000000-0005-0000-0000-000020000000}"/>
    <cellStyle name="Normal 2 2 4 2" xfId="22" xr:uid="{00000000-0005-0000-0000-000021000000}"/>
    <cellStyle name="Normal 2 2 4 2 2" xfId="55" xr:uid="{00000000-0005-0000-0000-000022000000}"/>
    <cellStyle name="Normal 2 2 4 2 3" xfId="62" xr:uid="{00000000-0005-0000-0000-000023000000}"/>
    <cellStyle name="Normal 2 2 4 3" xfId="49" xr:uid="{00000000-0005-0000-0000-000024000000}"/>
    <cellStyle name="Normal 2 2 4 3 2" xfId="56" xr:uid="{00000000-0005-0000-0000-000025000000}"/>
    <cellStyle name="Normal 2 2 4 3 3" xfId="63" xr:uid="{00000000-0005-0000-0000-000026000000}"/>
    <cellStyle name="Normal 2 2 4 4" xfId="53" xr:uid="{00000000-0005-0000-0000-000027000000}"/>
    <cellStyle name="Normal 2 3" xfId="23" xr:uid="{00000000-0005-0000-0000-000028000000}"/>
    <cellStyle name="Normal 2 4" xfId="24" xr:uid="{00000000-0005-0000-0000-000029000000}"/>
    <cellStyle name="Normal 2 5" xfId="33" xr:uid="{00000000-0005-0000-0000-00002A000000}"/>
    <cellStyle name="Normal 3" xfId="6" xr:uid="{00000000-0005-0000-0000-00002B000000}"/>
    <cellStyle name="Normal 3 2" xfId="26" xr:uid="{00000000-0005-0000-0000-00002C000000}"/>
    <cellStyle name="Normal 3 2 2" xfId="58" xr:uid="{00000000-0005-0000-0000-00002D000000}"/>
    <cellStyle name="Normal 3 3" xfId="25" xr:uid="{00000000-0005-0000-0000-00002E000000}"/>
    <cellStyle name="Normal 3 4" xfId="31" xr:uid="{00000000-0005-0000-0000-00002F000000}"/>
    <cellStyle name="Normal 3 5" xfId="32" xr:uid="{00000000-0005-0000-0000-000030000000}"/>
    <cellStyle name="Normal 3 6" xfId="34" xr:uid="{00000000-0005-0000-0000-000031000000}"/>
    <cellStyle name="Normal 3 7" xfId="48" xr:uid="{00000000-0005-0000-0000-000032000000}"/>
    <cellStyle name="Normal 3 8" xfId="51" xr:uid="{00000000-0005-0000-0000-000033000000}"/>
    <cellStyle name="Normal 4" xfId="9" xr:uid="{00000000-0005-0000-0000-000034000000}"/>
    <cellStyle name="Normal 4 2" xfId="42" xr:uid="{00000000-0005-0000-0000-000035000000}"/>
    <cellStyle name="Normal 5" xfId="27" xr:uid="{00000000-0005-0000-0000-000036000000}"/>
    <cellStyle name="Normal 5 2" xfId="39" xr:uid="{00000000-0005-0000-0000-000037000000}"/>
    <cellStyle name="Normal 5 3" xfId="46" xr:uid="{00000000-0005-0000-0000-000038000000}"/>
    <cellStyle name="Normal 5 4" xfId="52" xr:uid="{00000000-0005-0000-0000-000039000000}"/>
    <cellStyle name="Normal 7" xfId="38" xr:uid="{00000000-0005-0000-0000-00003A000000}"/>
    <cellStyle name="Normal 7 2" xfId="47" xr:uid="{00000000-0005-0000-0000-00003B000000}"/>
    <cellStyle name="Normal 7 3" xfId="59" xr:uid="{00000000-0005-0000-0000-00003C000000}"/>
    <cellStyle name="Normal 7 4" xfId="64" xr:uid="{00000000-0005-0000-0000-00003D000000}"/>
    <cellStyle name="Normal_Sheet1" xfId="30" xr:uid="{00000000-0005-0000-0000-00003E000000}"/>
    <cellStyle name="Style 1" xfId="28" xr:uid="{00000000-0005-0000-0000-00003F000000}"/>
    <cellStyle name="TableStyleLight1" xfId="7" xr:uid="{00000000-0005-0000-0000-000040000000}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CD5B5"/>
      <rgbColor rgb="FFC6EFCE"/>
      <rgbColor rgb="FF660066"/>
      <rgbColor rgb="FFFF8080"/>
      <rgbColor rgb="FF0066CC"/>
      <rgbColor rgb="FFD0D7E5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AC090"/>
      <rgbColor rgb="FF3366FF"/>
      <rgbColor rgb="FF33CCCC"/>
      <rgbColor rgb="FF99CC00"/>
      <rgbColor rgb="FFFFCC00"/>
      <rgbColor rgb="FFFF9900"/>
      <rgbColor rgb="FFE46C0A"/>
      <rgbColor rgb="FF666699"/>
      <rgbColor rgb="FF969696"/>
      <rgbColor rgb="FF003366"/>
      <rgbColor rgb="FF339966"/>
      <rgbColor rgb="FF0061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FFFF66"/>
      <color rgb="FFFFFF00"/>
      <color rgb="FF66CCFF"/>
      <color rgb="FF33CCFF"/>
      <color rgb="FF00FFFF"/>
      <color rgb="FF95B3D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63" Type="http://schemas.openxmlformats.org/officeDocument/2006/relationships/worksheet" Target="worksheets/sheet63.xml"/><Relationship Id="rId84" Type="http://schemas.openxmlformats.org/officeDocument/2006/relationships/worksheet" Target="worksheets/sheet84.xml"/><Relationship Id="rId138" Type="http://schemas.openxmlformats.org/officeDocument/2006/relationships/worksheet" Target="worksheets/sheet138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53" Type="http://schemas.openxmlformats.org/officeDocument/2006/relationships/worksheet" Target="worksheets/sheet53.xml"/><Relationship Id="rId74" Type="http://schemas.openxmlformats.org/officeDocument/2006/relationships/worksheet" Target="worksheets/sheet74.xml"/><Relationship Id="rId128" Type="http://schemas.openxmlformats.org/officeDocument/2006/relationships/worksheet" Target="worksheets/sheet128.xml"/><Relationship Id="rId149" Type="http://schemas.openxmlformats.org/officeDocument/2006/relationships/calcChain" Target="calcChain.xml"/><Relationship Id="rId5" Type="http://schemas.openxmlformats.org/officeDocument/2006/relationships/worksheet" Target="worksheets/sheet5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134" Type="http://schemas.openxmlformats.org/officeDocument/2006/relationships/worksheet" Target="worksheets/sheet134.xml"/><Relationship Id="rId139" Type="http://schemas.openxmlformats.org/officeDocument/2006/relationships/worksheet" Target="worksheets/sheet13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24" Type="http://schemas.openxmlformats.org/officeDocument/2006/relationships/worksheet" Target="worksheets/sheet124.xml"/><Relationship Id="rId129" Type="http://schemas.openxmlformats.org/officeDocument/2006/relationships/worksheet" Target="worksheets/sheet129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40" Type="http://schemas.openxmlformats.org/officeDocument/2006/relationships/worksheet" Target="worksheets/sheet140.xml"/><Relationship Id="rId145" Type="http://schemas.openxmlformats.org/officeDocument/2006/relationships/externalLink" Target="externalLinks/externalLink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130" Type="http://schemas.openxmlformats.org/officeDocument/2006/relationships/worksheet" Target="worksheets/sheet130.xml"/><Relationship Id="rId135" Type="http://schemas.openxmlformats.org/officeDocument/2006/relationships/worksheet" Target="worksheets/sheet135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141" Type="http://schemas.openxmlformats.org/officeDocument/2006/relationships/worksheet" Target="worksheets/sheet141.xml"/><Relationship Id="rId146" Type="http://schemas.openxmlformats.org/officeDocument/2006/relationships/theme" Target="theme/theme1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worksheet" Target="worksheets/sheet131.xml"/><Relationship Id="rId136" Type="http://schemas.openxmlformats.org/officeDocument/2006/relationships/worksheet" Target="worksheets/sheet136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Relationship Id="rId147" Type="http://schemas.openxmlformats.org/officeDocument/2006/relationships/styles" Target="style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142" Type="http://schemas.openxmlformats.org/officeDocument/2006/relationships/worksheet" Target="worksheets/sheet142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137" Type="http://schemas.openxmlformats.org/officeDocument/2006/relationships/worksheet" Target="worksheets/sheet13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32" Type="http://schemas.openxmlformats.org/officeDocument/2006/relationships/worksheet" Target="worksheets/sheet132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27" Type="http://schemas.openxmlformats.org/officeDocument/2006/relationships/worksheet" Target="worksheets/sheet12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143" Type="http://schemas.openxmlformats.org/officeDocument/2006/relationships/worksheet" Target="worksheets/sheet143.xml"/><Relationship Id="rId148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26" Type="http://schemas.openxmlformats.org/officeDocument/2006/relationships/worksheet" Target="worksheets/sheet26.xml"/><Relationship Id="rId47" Type="http://schemas.openxmlformats.org/officeDocument/2006/relationships/worksheet" Target="worksheets/sheet47.xml"/><Relationship Id="rId68" Type="http://schemas.openxmlformats.org/officeDocument/2006/relationships/worksheet" Target="worksheets/sheet68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worksheet" Target="worksheets/sheet133.xml"/><Relationship Id="rId16" Type="http://schemas.openxmlformats.org/officeDocument/2006/relationships/worksheet" Target="worksheets/sheet16.xml"/><Relationship Id="rId37" Type="http://schemas.openxmlformats.org/officeDocument/2006/relationships/worksheet" Target="worksheets/sheet37.xml"/><Relationship Id="rId58" Type="http://schemas.openxmlformats.org/officeDocument/2006/relationships/worksheet" Target="worksheets/sheet58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44" Type="http://schemas.openxmlformats.org/officeDocument/2006/relationships/externalLink" Target="externalLinks/externalLink1.xml"/><Relationship Id="rId90" Type="http://schemas.openxmlformats.org/officeDocument/2006/relationships/worksheet" Target="worksheets/sheet90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hyperlink" Target="#SU_02006!B5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jpe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jpe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jpe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hyperlink" Target="#SU_02002!B5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hyperlink" Target="#SU_01002!B5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SU_510_001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SU_510_001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2.png"/></Relationships>
</file>

<file path=xl/drawings/_rels/drawing8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8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9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9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9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9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9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9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9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png"/></Relationships>
</file>

<file path=xl/drawings/_rels/drawing9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9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395007</xdr:colOff>
      <xdr:row>28</xdr:row>
      <xdr:rowOff>126066</xdr:rowOff>
    </xdr:from>
    <xdr:to>
      <xdr:col>13</xdr:col>
      <xdr:colOff>760305</xdr:colOff>
      <xdr:row>46</xdr:row>
      <xdr:rowOff>145925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867154" y="4249831"/>
          <a:ext cx="2875415" cy="341499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630367</xdr:colOff>
      <xdr:row>32</xdr:row>
      <xdr:rowOff>99061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884607" cy="558546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121904</xdr:colOff>
      <xdr:row>33</xdr:row>
      <xdr:rowOff>83820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1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8130524" cy="57531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557617</xdr:colOff>
      <xdr:row>32</xdr:row>
      <xdr:rowOff>60960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1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827097" cy="554736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45720</xdr:colOff>
      <xdr:row>1</xdr:row>
      <xdr:rowOff>106680</xdr:rowOff>
    </xdr:from>
    <xdr:to>
      <xdr:col>10</xdr:col>
      <xdr:colOff>296457</xdr:colOff>
      <xdr:row>33</xdr:row>
      <xdr:rowOff>91440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5720" y="289560"/>
          <a:ext cx="8251737" cy="583692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470318</xdr:colOff>
      <xdr:row>30</xdr:row>
      <xdr:rowOff>155933</xdr:rowOff>
    </xdr:from>
    <xdr:to>
      <xdr:col>14</xdr:col>
      <xdr:colOff>291730</xdr:colOff>
      <xdr:row>51</xdr:row>
      <xdr:rowOff>66674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205118" y="5804258"/>
          <a:ext cx="3126587" cy="3892191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264184</xdr:colOff>
      <xdr:row>14</xdr:row>
      <xdr:rowOff>345057</xdr:rowOff>
    </xdr:from>
    <xdr:to>
      <xdr:col>13</xdr:col>
      <xdr:colOff>473852</xdr:colOff>
      <xdr:row>21</xdr:row>
      <xdr:rowOff>264184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13580" y="3004868"/>
          <a:ext cx="2948555" cy="206135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98844</xdr:colOff>
      <xdr:row>1</xdr:row>
      <xdr:rowOff>98844</xdr:rowOff>
    </xdr:from>
    <xdr:to>
      <xdr:col>10</xdr:col>
      <xdr:colOff>562604</xdr:colOff>
      <xdr:row>32</xdr:row>
      <xdr:rowOff>98843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1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844" y="281724"/>
          <a:ext cx="8556200" cy="566927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272439</xdr:colOff>
      <xdr:row>13</xdr:row>
      <xdr:rowOff>135318</xdr:rowOff>
    </xdr:from>
    <xdr:to>
      <xdr:col>13</xdr:col>
      <xdr:colOff>733383</xdr:colOff>
      <xdr:row>19</xdr:row>
      <xdr:rowOff>14378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1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53665" y="2471639"/>
          <a:ext cx="2833209" cy="225132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126341</xdr:colOff>
      <xdr:row>1</xdr:row>
      <xdr:rowOff>158152</xdr:rowOff>
    </xdr:from>
    <xdr:ext cx="8610220" cy="4078525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1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6341" y="337869"/>
          <a:ext cx="8610220" cy="4078525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64698</xdr:colOff>
      <xdr:row>1</xdr:row>
      <xdr:rowOff>86265</xdr:rowOff>
    </xdr:from>
    <xdr:to>
      <xdr:col>9</xdr:col>
      <xdr:colOff>532636</xdr:colOff>
      <xdr:row>34</xdr:row>
      <xdr:rowOff>43133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1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698" y="265982"/>
          <a:ext cx="8339542" cy="588752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75408</xdr:colOff>
      <xdr:row>14</xdr:row>
      <xdr:rowOff>89298</xdr:rowOff>
    </xdr:from>
    <xdr:to>
      <xdr:col>14</xdr:col>
      <xdr:colOff>126602</xdr:colOff>
      <xdr:row>21</xdr:row>
      <xdr:rowOff>100409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49408" y="2645173"/>
          <a:ext cx="3297632" cy="2297111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30480</xdr:colOff>
      <xdr:row>1</xdr:row>
      <xdr:rowOff>160020</xdr:rowOff>
    </xdr:from>
    <xdr:to>
      <xdr:col>9</xdr:col>
      <xdr:colOff>693507</xdr:colOff>
      <xdr:row>32</xdr:row>
      <xdr:rowOff>53340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2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0480" y="342900"/>
          <a:ext cx="7863927" cy="55626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516467</xdr:colOff>
      <xdr:row>12</xdr:row>
      <xdr:rowOff>93131</xdr:rowOff>
    </xdr:from>
    <xdr:to>
      <xdr:col>12</xdr:col>
      <xdr:colOff>414867</xdr:colOff>
      <xdr:row>16</xdr:row>
      <xdr:rowOff>111904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21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15216" t="40599" r="10549" b="18514"/>
        <a:stretch/>
      </xdr:blipFill>
      <xdr:spPr>
        <a:xfrm>
          <a:off x="9973734" y="2362198"/>
          <a:ext cx="2286000" cy="76384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107292</xdr:colOff>
      <xdr:row>1</xdr:row>
      <xdr:rowOff>90122</xdr:rowOff>
    </xdr:from>
    <xdr:ext cx="8972010" cy="3693395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2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7292" y="269839"/>
          <a:ext cx="8972010" cy="3693395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688595</xdr:colOff>
      <xdr:row>32</xdr:row>
      <xdr:rowOff>114300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2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897115" cy="56007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142969</xdr:colOff>
      <xdr:row>30</xdr:row>
      <xdr:rowOff>91440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2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374349" cy="521208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114301</xdr:colOff>
      <xdr:row>1</xdr:row>
      <xdr:rowOff>68581</xdr:rowOff>
    </xdr:from>
    <xdr:to>
      <xdr:col>9</xdr:col>
      <xdr:colOff>741991</xdr:colOff>
      <xdr:row>31</xdr:row>
      <xdr:rowOff>83821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2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1" y="251461"/>
          <a:ext cx="7760010" cy="550164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198120</xdr:colOff>
      <xdr:row>1</xdr:row>
      <xdr:rowOff>99060</xdr:rowOff>
    </xdr:from>
    <xdr:to>
      <xdr:col>9</xdr:col>
      <xdr:colOff>213743</xdr:colOff>
      <xdr:row>29</xdr:row>
      <xdr:rowOff>30480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2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8120" y="281940"/>
          <a:ext cx="7147943" cy="505206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347634</xdr:colOff>
      <xdr:row>28</xdr:row>
      <xdr:rowOff>171203</xdr:rowOff>
    </xdr:from>
    <xdr:to>
      <xdr:col>14</xdr:col>
      <xdr:colOff>47642</xdr:colOff>
      <xdr:row>49</xdr:row>
      <xdr:rowOff>130135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2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463434" y="5352803"/>
          <a:ext cx="2976608" cy="3845132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80874</xdr:colOff>
      <xdr:row>14</xdr:row>
      <xdr:rowOff>92734</xdr:rowOff>
    </xdr:from>
    <xdr:to>
      <xdr:col>14</xdr:col>
      <xdr:colOff>112009</xdr:colOff>
      <xdr:row>22</xdr:row>
      <xdr:rowOff>237227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2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72119" y="2608772"/>
          <a:ext cx="3395437" cy="2380172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98844</xdr:colOff>
      <xdr:row>1</xdr:row>
      <xdr:rowOff>80873</xdr:rowOff>
    </xdr:from>
    <xdr:to>
      <xdr:col>10</xdr:col>
      <xdr:colOff>48354</xdr:colOff>
      <xdr:row>30</xdr:row>
      <xdr:rowOff>107831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2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844" y="260590"/>
          <a:ext cx="7964887" cy="52387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1</xdr:row>
      <xdr:rowOff>76200</xdr:rowOff>
    </xdr:from>
    <xdr:to>
      <xdr:col>10</xdr:col>
      <xdr:colOff>644169</xdr:colOff>
      <xdr:row>32</xdr:row>
      <xdr:rowOff>101630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25" y="266700"/>
          <a:ext cx="8387994" cy="593093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589470</xdr:colOff>
      <xdr:row>12</xdr:row>
      <xdr:rowOff>170279</xdr:rowOff>
    </xdr:from>
    <xdr:to>
      <xdr:col>13</xdr:col>
      <xdr:colOff>70007</xdr:colOff>
      <xdr:row>19</xdr:row>
      <xdr:rowOff>172527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2E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22810"/>
        <a:stretch/>
      </xdr:blipFill>
      <xdr:spPr>
        <a:xfrm>
          <a:off x="9582508" y="2326883"/>
          <a:ext cx="2614801" cy="1957569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255736</xdr:colOff>
      <xdr:row>2</xdr:row>
      <xdr:rowOff>90398</xdr:rowOff>
    </xdr:from>
    <xdr:ext cx="8080135" cy="3827432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2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5736" y="449832"/>
          <a:ext cx="8080135" cy="3827432"/>
        </a:xfrm>
        <a:prstGeom prst="rect">
          <a:avLst/>
        </a:prstGeom>
      </xdr:spPr>
    </xdr:pic>
    <xdr:clientData/>
  </xdr:one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7230</xdr:colOff>
      <xdr:row>30</xdr:row>
      <xdr:rowOff>86266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3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59435"/>
          <a:ext cx="7253419" cy="511834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327660</xdr:colOff>
      <xdr:row>1</xdr:row>
      <xdr:rowOff>152400</xdr:rowOff>
    </xdr:from>
    <xdr:to>
      <xdr:col>9</xdr:col>
      <xdr:colOff>541917</xdr:colOff>
      <xdr:row>30</xdr:row>
      <xdr:rowOff>137160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3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27660" y="335280"/>
          <a:ext cx="7476117" cy="528828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345441</xdr:colOff>
      <xdr:row>11</xdr:row>
      <xdr:rowOff>55881</xdr:rowOff>
    </xdr:from>
    <xdr:to>
      <xdr:col>11</xdr:col>
      <xdr:colOff>508000</xdr:colOff>
      <xdr:row>16</xdr:row>
      <xdr:rowOff>189301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3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51908" y="2138681"/>
          <a:ext cx="1737359" cy="1064754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847725</xdr:colOff>
      <xdr:row>5</xdr:row>
      <xdr:rowOff>9525</xdr:rowOff>
    </xdr:from>
    <xdr:ext cx="10058400" cy="4140616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3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725" y="923925"/>
          <a:ext cx="10058400" cy="4140616"/>
        </a:xfrm>
        <a:prstGeom prst="rect">
          <a:avLst/>
        </a:prstGeom>
      </xdr:spPr>
    </xdr:pic>
    <xdr:clientData/>
  </xdr:one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151879</xdr:colOff>
      <xdr:row>33</xdr:row>
      <xdr:rowOff>45720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3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"/>
          <a:ext cx="8076679" cy="57150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91441</xdr:rowOff>
    </xdr:from>
    <xdr:to>
      <xdr:col>9</xdr:col>
      <xdr:colOff>502815</xdr:colOff>
      <xdr:row>30</xdr:row>
      <xdr:rowOff>167641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3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74321"/>
          <a:ext cx="7635135" cy="537972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545910</xdr:colOff>
      <xdr:row>31</xdr:row>
      <xdr:rowOff>129540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3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678230" cy="543306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</xdr:row>
      <xdr:rowOff>0</xdr:rowOff>
    </xdr:from>
    <xdr:to>
      <xdr:col>9</xdr:col>
      <xdr:colOff>543703</xdr:colOff>
      <xdr:row>31</xdr:row>
      <xdr:rowOff>144780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3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365760"/>
          <a:ext cx="7676022" cy="54483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71157</xdr:colOff>
      <xdr:row>12</xdr:row>
      <xdr:rowOff>156883</xdr:rowOff>
    </xdr:from>
    <xdr:to>
      <xdr:col>14</xdr:col>
      <xdr:colOff>250450</xdr:colOff>
      <xdr:row>19</xdr:row>
      <xdr:rowOff>57711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63392" y="2308412"/>
          <a:ext cx="3334870" cy="1917887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395198</xdr:colOff>
      <xdr:row>28</xdr:row>
      <xdr:rowOff>182336</xdr:rowOff>
    </xdr:from>
    <xdr:to>
      <xdr:col>14</xdr:col>
      <xdr:colOff>147637</xdr:colOff>
      <xdr:row>49</xdr:row>
      <xdr:rowOff>178567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4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587198" y="5363936"/>
          <a:ext cx="3029039" cy="3882431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109629</xdr:colOff>
      <xdr:row>13</xdr:row>
      <xdr:rowOff>106033</xdr:rowOff>
    </xdr:from>
    <xdr:to>
      <xdr:col>14</xdr:col>
      <xdr:colOff>145571</xdr:colOff>
      <xdr:row>21</xdr:row>
      <xdr:rowOff>73233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4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27704" y="2485486"/>
          <a:ext cx="3400244" cy="2389785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104236</xdr:colOff>
      <xdr:row>1</xdr:row>
      <xdr:rowOff>50321</xdr:rowOff>
    </xdr:from>
    <xdr:to>
      <xdr:col>10</xdr:col>
      <xdr:colOff>431125</xdr:colOff>
      <xdr:row>31</xdr:row>
      <xdr:rowOff>141976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4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236" y="230038"/>
          <a:ext cx="8342266" cy="5483164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143775</xdr:colOff>
      <xdr:row>12</xdr:row>
      <xdr:rowOff>56342</xdr:rowOff>
    </xdr:from>
    <xdr:to>
      <xdr:col>13</xdr:col>
      <xdr:colOff>224646</xdr:colOff>
      <xdr:row>18</xdr:row>
      <xdr:rowOff>359613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4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93415" y="2250902"/>
          <a:ext cx="3220311" cy="1916411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485775</xdr:colOff>
      <xdr:row>2</xdr:row>
      <xdr:rowOff>104775</xdr:rowOff>
    </xdr:from>
    <xdr:ext cx="10058400" cy="4764505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4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5775" y="470535"/>
          <a:ext cx="10058400" cy="4764505"/>
        </a:xfrm>
        <a:prstGeom prst="rect">
          <a:avLst/>
        </a:prstGeom>
      </xdr:spPr>
    </xdr:pic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391919</xdr:colOff>
      <xdr:row>34</xdr:row>
      <xdr:rowOff>57510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4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59434"/>
          <a:ext cx="8206013" cy="580845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343797</xdr:colOff>
      <xdr:row>30</xdr:row>
      <xdr:rowOff>167640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4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476117" cy="528828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311574</xdr:colOff>
      <xdr:row>11</xdr:row>
      <xdr:rowOff>38948</xdr:rowOff>
    </xdr:from>
    <xdr:to>
      <xdr:col>11</xdr:col>
      <xdr:colOff>695000</xdr:colOff>
      <xdr:row>16</xdr:row>
      <xdr:rowOff>101600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4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18041" y="2265681"/>
          <a:ext cx="1958226" cy="993986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56970</xdr:colOff>
      <xdr:row>2</xdr:row>
      <xdr:rowOff>67035</xdr:rowOff>
    </xdr:from>
    <xdr:ext cx="8009733" cy="3297267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4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970" y="426469"/>
          <a:ext cx="8009733" cy="3297267"/>
        </a:xfrm>
        <a:prstGeom prst="rect">
          <a:avLst/>
        </a:prstGeom>
      </xdr:spPr>
    </xdr:pic>
    <xdr:clientData/>
  </xdr:one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76200</xdr:rowOff>
    </xdr:from>
    <xdr:to>
      <xdr:col>9</xdr:col>
      <xdr:colOff>546175</xdr:colOff>
      <xdr:row>31</xdr:row>
      <xdr:rowOff>121920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4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59080"/>
          <a:ext cx="7800415" cy="553212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99061</xdr:colOff>
      <xdr:row>1</xdr:row>
      <xdr:rowOff>121920</xdr:rowOff>
    </xdr:from>
    <xdr:ext cx="8751358" cy="414538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061" y="304800"/>
          <a:ext cx="8751358" cy="4145380"/>
        </a:xfrm>
        <a:prstGeom prst="rect">
          <a:avLst/>
        </a:prstGeom>
      </xdr:spPr>
    </xdr:pic>
    <xdr:clientData/>
  </xdr:one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129540</xdr:colOff>
      <xdr:row>1</xdr:row>
      <xdr:rowOff>91440</xdr:rowOff>
    </xdr:from>
    <xdr:to>
      <xdr:col>9</xdr:col>
      <xdr:colOff>614903</xdr:colOff>
      <xdr:row>30</xdr:row>
      <xdr:rowOff>167640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5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9540" y="274320"/>
          <a:ext cx="7617683" cy="537972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205740</xdr:colOff>
      <xdr:row>1</xdr:row>
      <xdr:rowOff>83820</xdr:rowOff>
    </xdr:from>
    <xdr:to>
      <xdr:col>9</xdr:col>
      <xdr:colOff>507675</xdr:colOff>
      <xdr:row>30</xdr:row>
      <xdr:rowOff>30480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5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40" y="266700"/>
          <a:ext cx="7434255" cy="525018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609259</xdr:colOff>
      <xdr:row>31</xdr:row>
      <xdr:rowOff>160021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5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741579" cy="546354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320041</xdr:colOff>
      <xdr:row>2</xdr:row>
      <xdr:rowOff>38100</xdr:rowOff>
    </xdr:from>
    <xdr:to>
      <xdr:col>8</xdr:col>
      <xdr:colOff>7621</xdr:colOff>
      <xdr:row>25</xdr:row>
      <xdr:rowOff>112657</xdr:rowOff>
    </xdr:to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5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403860"/>
          <a:ext cx="6195060" cy="4280797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487680</xdr:colOff>
      <xdr:row>13</xdr:row>
      <xdr:rowOff>137161</xdr:rowOff>
    </xdr:from>
    <xdr:to>
      <xdr:col>11</xdr:col>
      <xdr:colOff>83820</xdr:colOff>
      <xdr:row>20</xdr:row>
      <xdr:rowOff>138497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5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9620" y="2514601"/>
          <a:ext cx="1318260" cy="1281496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533400</xdr:colOff>
      <xdr:row>13</xdr:row>
      <xdr:rowOff>33865</xdr:rowOff>
    </xdr:from>
    <xdr:to>
      <xdr:col>12</xdr:col>
      <xdr:colOff>127000</xdr:colOff>
      <xdr:row>20</xdr:row>
      <xdr:rowOff>173201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5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76760" y="2411305"/>
          <a:ext cx="1971040" cy="1419496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393517</xdr:colOff>
      <xdr:row>11</xdr:row>
      <xdr:rowOff>90839</xdr:rowOff>
    </xdr:from>
    <xdr:to>
      <xdr:col>11</xdr:col>
      <xdr:colOff>489862</xdr:colOff>
      <xdr:row>16</xdr:row>
      <xdr:rowOff>74571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5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12847564" y="1802372"/>
          <a:ext cx="1081012" cy="1681305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62016</xdr:rowOff>
    </xdr:from>
    <xdr:to>
      <xdr:col>6</xdr:col>
      <xdr:colOff>301483</xdr:colOff>
      <xdr:row>21</xdr:row>
      <xdr:rowOff>79887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5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4896"/>
          <a:ext cx="5094463" cy="3675471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333971</xdr:colOff>
      <xdr:row>12</xdr:row>
      <xdr:rowOff>1310</xdr:rowOff>
    </xdr:from>
    <xdr:to>
      <xdr:col>11</xdr:col>
      <xdr:colOff>589799</xdr:colOff>
      <xdr:row>18</xdr:row>
      <xdr:rowOff>174171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5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3908574" y="1910547"/>
          <a:ext cx="1270141" cy="1840788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320041</xdr:colOff>
      <xdr:row>2</xdr:row>
      <xdr:rowOff>38100</xdr:rowOff>
    </xdr:from>
    <xdr:to>
      <xdr:col>8</xdr:col>
      <xdr:colOff>7621</xdr:colOff>
      <xdr:row>25</xdr:row>
      <xdr:rowOff>112657</xdr:rowOff>
    </xdr:to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6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403860"/>
          <a:ext cx="6195060" cy="428079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9</xdr:col>
      <xdr:colOff>647910</xdr:colOff>
      <xdr:row>33</xdr:row>
      <xdr:rowOff>152400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182880"/>
          <a:ext cx="8534610" cy="600456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573405</xdr:colOff>
      <xdr:row>12</xdr:row>
      <xdr:rowOff>99061</xdr:rowOff>
    </xdr:from>
    <xdr:to>
      <xdr:col>11</xdr:col>
      <xdr:colOff>419100</xdr:colOff>
      <xdr:row>20</xdr:row>
      <xdr:rowOff>159147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6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906125" y="2293621"/>
          <a:ext cx="1567815" cy="1523126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117791</xdr:colOff>
      <xdr:row>11</xdr:row>
      <xdr:rowOff>75433</xdr:rowOff>
    </xdr:from>
    <xdr:to>
      <xdr:col>11</xdr:col>
      <xdr:colOff>561976</xdr:colOff>
      <xdr:row>16</xdr:row>
      <xdr:rowOff>57507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6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2717059" y="1897015"/>
          <a:ext cx="1067924" cy="176816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1</xdr:row>
      <xdr:rowOff>53340</xdr:rowOff>
    </xdr:from>
    <xdr:to>
      <xdr:col>9</xdr:col>
      <xdr:colOff>277937</xdr:colOff>
      <xdr:row>29</xdr:row>
      <xdr:rowOff>175260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6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100" y="236220"/>
          <a:ext cx="7410257" cy="524256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364464</xdr:colOff>
      <xdr:row>11</xdr:row>
      <xdr:rowOff>100355</xdr:rowOff>
    </xdr:from>
    <xdr:to>
      <xdr:col>11</xdr:col>
      <xdr:colOff>685799</xdr:colOff>
      <xdr:row>19</xdr:row>
      <xdr:rowOff>75976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6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3887561" y="1878218"/>
          <a:ext cx="1438661" cy="1906295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489857</xdr:colOff>
      <xdr:row>11</xdr:row>
      <xdr:rowOff>43544</xdr:rowOff>
    </xdr:from>
    <xdr:ext cx="1458686" cy="995034"/>
    <xdr:pic>
      <xdr:nvPicPr>
        <xdr:cNvPr id="2" name="Picture 4">
          <a:extLst>
            <a:ext uri="{FF2B5EF4-FFF2-40B4-BE49-F238E27FC236}">
              <a16:creationId xmlns:a16="http://schemas.microsoft.com/office/drawing/2014/main" id="{00000000-0008-0000-6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r="2804"/>
        <a:stretch>
          <a:fillRect/>
        </a:stretch>
      </xdr:blipFill>
      <xdr:spPr bwMode="auto">
        <a:xfrm>
          <a:off x="13552714" y="2090058"/>
          <a:ext cx="1458686" cy="99503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65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526869</xdr:colOff>
      <xdr:row>13</xdr:row>
      <xdr:rowOff>15240</xdr:rowOff>
    </xdr:from>
    <xdr:ext cx="2149839" cy="1236618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6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17583" y="2442754"/>
          <a:ext cx="2149839" cy="1236618"/>
        </a:xfrm>
        <a:prstGeom prst="rect">
          <a:avLst/>
        </a:prstGeom>
      </xdr:spPr>
    </xdr:pic>
    <xdr:clientData/>
  </xdr:one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121921</xdr:colOff>
      <xdr:row>1</xdr:row>
      <xdr:rowOff>99060</xdr:rowOff>
    </xdr:from>
    <xdr:to>
      <xdr:col>8</xdr:col>
      <xdr:colOff>723901</xdr:colOff>
      <xdr:row>28</xdr:row>
      <xdr:rowOff>83083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6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21" y="281940"/>
          <a:ext cx="6941820" cy="4921783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272143</xdr:colOff>
      <xdr:row>11</xdr:row>
      <xdr:rowOff>85022</xdr:rowOff>
    </xdr:from>
    <xdr:ext cx="1045028" cy="1094594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6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540343" y="2120651"/>
          <a:ext cx="1045028" cy="1094594"/>
        </a:xfrm>
        <a:prstGeom prst="rect">
          <a:avLst/>
        </a:prstGeom>
      </xdr:spPr>
    </xdr:pic>
    <xdr:clientData/>
  </xdr:one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692255</xdr:colOff>
      <xdr:row>29</xdr:row>
      <xdr:rowOff>38100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6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032095" cy="497586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548640</xdr:colOff>
      <xdr:row>11</xdr:row>
      <xdr:rowOff>82049</xdr:rowOff>
    </xdr:from>
    <xdr:to>
      <xdr:col>11</xdr:col>
      <xdr:colOff>365760</xdr:colOff>
      <xdr:row>17</xdr:row>
      <xdr:rowOff>38733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6C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78240" y="2276609"/>
          <a:ext cx="1402080" cy="123684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1</xdr:row>
      <xdr:rowOff>38100</xdr:rowOff>
    </xdr:from>
    <xdr:to>
      <xdr:col>10</xdr:col>
      <xdr:colOff>108065</xdr:colOff>
      <xdr:row>32</xdr:row>
      <xdr:rowOff>137160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0" y="220980"/>
          <a:ext cx="8154785" cy="5768340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440749</xdr:colOff>
      <xdr:row>31</xdr:row>
      <xdr:rowOff>53340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6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573069" cy="5356860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420946</xdr:colOff>
      <xdr:row>12</xdr:row>
      <xdr:rowOff>27259</xdr:rowOff>
    </xdr:from>
    <xdr:to>
      <xdr:col>13</xdr:col>
      <xdr:colOff>594425</xdr:colOff>
      <xdr:row>19</xdr:row>
      <xdr:rowOff>259081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6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9421475" y="2007150"/>
          <a:ext cx="1877742" cy="2672839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228601</xdr:colOff>
      <xdr:row>1</xdr:row>
      <xdr:rowOff>83820</xdr:rowOff>
    </xdr:from>
    <xdr:to>
      <xdr:col>10</xdr:col>
      <xdr:colOff>95181</xdr:colOff>
      <xdr:row>29</xdr:row>
      <xdr:rowOff>152400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7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8601" y="266700"/>
          <a:ext cx="7959020" cy="5189220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347132</xdr:colOff>
      <xdr:row>11</xdr:row>
      <xdr:rowOff>131234</xdr:rowOff>
    </xdr:from>
    <xdr:to>
      <xdr:col>11</xdr:col>
      <xdr:colOff>423332</xdr:colOff>
      <xdr:row>19</xdr:row>
      <xdr:rowOff>109202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93665" y="2357967"/>
          <a:ext cx="1329267" cy="2001502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492437</xdr:colOff>
      <xdr:row>29</xdr:row>
      <xdr:rowOff>143436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58588"/>
          <a:ext cx="7762813" cy="4984377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490329</xdr:colOff>
      <xdr:row>12</xdr:row>
      <xdr:rowOff>99391</xdr:rowOff>
    </xdr:from>
    <xdr:to>
      <xdr:col>11</xdr:col>
      <xdr:colOff>485490</xdr:colOff>
      <xdr:row>21</xdr:row>
      <xdr:rowOff>26504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38051" y="2325756"/>
          <a:ext cx="1240865" cy="1596887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618129</xdr:colOff>
      <xdr:row>30</xdr:row>
      <xdr:rowOff>68581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918089" cy="5189220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304800</xdr:colOff>
      <xdr:row>11</xdr:row>
      <xdr:rowOff>76202</xdr:rowOff>
    </xdr:from>
    <xdr:to>
      <xdr:col>11</xdr:col>
      <xdr:colOff>515045</xdr:colOff>
      <xdr:row>17</xdr:row>
      <xdr:rowOff>93134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39933" y="2125135"/>
          <a:ext cx="1463311" cy="1312332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180885</xdr:colOff>
      <xdr:row>1</xdr:row>
      <xdr:rowOff>105045</xdr:rowOff>
    </xdr:from>
    <xdr:to>
      <xdr:col>8</xdr:col>
      <xdr:colOff>444315</xdr:colOff>
      <xdr:row>33</xdr:row>
      <xdr:rowOff>36465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674550" y="-205740"/>
          <a:ext cx="5783580" cy="6770910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603249</xdr:colOff>
      <xdr:row>12</xdr:row>
      <xdr:rowOff>31750</xdr:rowOff>
    </xdr:from>
    <xdr:to>
      <xdr:col>11</xdr:col>
      <xdr:colOff>234839</xdr:colOff>
      <xdr:row>17</xdr:row>
      <xdr:rowOff>97217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26809" y="2409190"/>
          <a:ext cx="898203" cy="115428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696686</xdr:colOff>
      <xdr:row>13</xdr:row>
      <xdr:rowOff>10886</xdr:rowOff>
    </xdr:from>
    <xdr:to>
      <xdr:col>11</xdr:col>
      <xdr:colOff>653144</xdr:colOff>
      <xdr:row>16</xdr:row>
      <xdr:rowOff>32657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15216" t="40599" r="10549" b="18514"/>
        <a:stretch/>
      </xdr:blipFill>
      <xdr:spPr>
        <a:xfrm>
          <a:off x="10156372" y="2449286"/>
          <a:ext cx="1698172" cy="576942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152399</xdr:colOff>
      <xdr:row>1</xdr:row>
      <xdr:rowOff>96997</xdr:rowOff>
    </xdr:from>
    <xdr:to>
      <xdr:col>9</xdr:col>
      <xdr:colOff>472439</xdr:colOff>
      <xdr:row>36</xdr:row>
      <xdr:rowOff>67652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776671" y="-344395"/>
          <a:ext cx="6371455" cy="7620000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525308</xdr:colOff>
      <xdr:row>14</xdr:row>
      <xdr:rowOff>276713</xdr:rowOff>
    </xdr:from>
    <xdr:to>
      <xdr:col>13</xdr:col>
      <xdr:colOff>647699</xdr:colOff>
      <xdr:row>26</xdr:row>
      <xdr:rowOff>159027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50058" y="2943713"/>
          <a:ext cx="2560791" cy="4454314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78442</xdr:colOff>
      <xdr:row>1</xdr:row>
      <xdr:rowOff>95673</xdr:rowOff>
    </xdr:from>
    <xdr:to>
      <xdr:col>9</xdr:col>
      <xdr:colOff>645906</xdr:colOff>
      <xdr:row>29</xdr:row>
      <xdr:rowOff>125506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442" y="274967"/>
          <a:ext cx="7837840" cy="5050068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44727</xdr:colOff>
      <xdr:row>12</xdr:row>
      <xdr:rowOff>182216</xdr:rowOff>
    </xdr:from>
    <xdr:to>
      <xdr:col>12</xdr:col>
      <xdr:colOff>480444</xdr:colOff>
      <xdr:row>22</xdr:row>
      <xdr:rowOff>172278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56205" y="2587486"/>
          <a:ext cx="1681422" cy="2024270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85351</xdr:colOff>
      <xdr:row>1</xdr:row>
      <xdr:rowOff>172487</xdr:rowOff>
    </xdr:from>
    <xdr:to>
      <xdr:col>8</xdr:col>
      <xdr:colOff>598463</xdr:colOff>
      <xdr:row>26</xdr:row>
      <xdr:rowOff>167641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351" y="355367"/>
          <a:ext cx="7020592" cy="4567154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482546</xdr:colOff>
      <xdr:row>12</xdr:row>
      <xdr:rowOff>66579</xdr:rowOff>
    </xdr:from>
    <xdr:to>
      <xdr:col>11</xdr:col>
      <xdr:colOff>554828</xdr:colOff>
      <xdr:row>17</xdr:row>
      <xdr:rowOff>64477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20284" y="2247071"/>
          <a:ext cx="1326651" cy="1088144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403863</xdr:colOff>
      <xdr:row>1</xdr:row>
      <xdr:rowOff>174148</xdr:rowOff>
    </xdr:from>
    <xdr:to>
      <xdr:col>9</xdr:col>
      <xdr:colOff>751319</xdr:colOff>
      <xdr:row>33</xdr:row>
      <xdr:rowOff>129543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7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323793" y="-562902"/>
          <a:ext cx="5807555" cy="7647416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148270</xdr:colOff>
      <xdr:row>11</xdr:row>
      <xdr:rowOff>105634</xdr:rowOff>
    </xdr:from>
    <xdr:to>
      <xdr:col>11</xdr:col>
      <xdr:colOff>313267</xdr:colOff>
      <xdr:row>17</xdr:row>
      <xdr:rowOff>139181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13603" y="2332367"/>
          <a:ext cx="799997" cy="1328947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86840</xdr:colOff>
      <xdr:row>1</xdr:row>
      <xdr:rowOff>134144</xdr:rowOff>
    </xdr:from>
    <xdr:to>
      <xdr:col>10</xdr:col>
      <xdr:colOff>34454</xdr:colOff>
      <xdr:row>35</xdr:row>
      <xdr:rowOff>38103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045927" y="-642063"/>
          <a:ext cx="6121879" cy="8040054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751114</xdr:colOff>
      <xdr:row>11</xdr:row>
      <xdr:rowOff>65316</xdr:rowOff>
    </xdr:from>
    <xdr:to>
      <xdr:col>11</xdr:col>
      <xdr:colOff>370114</xdr:colOff>
      <xdr:row>16</xdr:row>
      <xdr:rowOff>83458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00000000-0008-0000-8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804"/>
        <a:stretch>
          <a:fillRect/>
        </a:stretch>
      </xdr:blipFill>
      <xdr:spPr bwMode="auto">
        <a:xfrm>
          <a:off x="13804174" y="2084616"/>
          <a:ext cx="1341120" cy="93254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</xdr:colOff>
      <xdr:row>1</xdr:row>
      <xdr:rowOff>82476</xdr:rowOff>
    </xdr:from>
    <xdr:ext cx="9029700" cy="3717144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265356"/>
          <a:ext cx="9029700" cy="3717144"/>
        </a:xfrm>
        <a:prstGeom prst="rect">
          <a:avLst/>
        </a:prstGeom>
      </xdr:spPr>
    </xdr:pic>
    <xdr:clientData/>
  </xdr:one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515983</xdr:colOff>
      <xdr:row>12</xdr:row>
      <xdr:rowOff>145869</xdr:rowOff>
    </xdr:from>
    <xdr:to>
      <xdr:col>12</xdr:col>
      <xdr:colOff>264768</xdr:colOff>
      <xdr:row>17</xdr:row>
      <xdr:rowOff>141514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94723" y="2363289"/>
          <a:ext cx="2255765" cy="1284514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53340</xdr:colOff>
      <xdr:row>1</xdr:row>
      <xdr:rowOff>91440</xdr:rowOff>
    </xdr:from>
    <xdr:to>
      <xdr:col>9</xdr:col>
      <xdr:colOff>551717</xdr:colOff>
      <xdr:row>31</xdr:row>
      <xdr:rowOff>15240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40" y="274320"/>
          <a:ext cx="7630697" cy="5410200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587828</xdr:colOff>
      <xdr:row>11</xdr:row>
      <xdr:rowOff>97970</xdr:rowOff>
    </xdr:from>
    <xdr:to>
      <xdr:col>11</xdr:col>
      <xdr:colOff>108857</xdr:colOff>
      <xdr:row>17</xdr:row>
      <xdr:rowOff>150635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688388" y="2109650"/>
          <a:ext cx="1105989" cy="1149945"/>
        </a:xfrm>
        <a:prstGeom prst="rect">
          <a:avLst/>
        </a:prstGeom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144780</xdr:colOff>
      <xdr:row>1</xdr:row>
      <xdr:rowOff>68580</xdr:rowOff>
    </xdr:from>
    <xdr:to>
      <xdr:col>8</xdr:col>
      <xdr:colOff>530068</xdr:colOff>
      <xdr:row>27</xdr:row>
      <xdr:rowOff>76200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4780" y="251460"/>
          <a:ext cx="6725128" cy="4762500"/>
        </a:xfrm>
        <a:prstGeom prst="rect">
          <a:avLst/>
        </a:prstGeom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732608</xdr:colOff>
      <xdr:row>11</xdr:row>
      <xdr:rowOff>136070</xdr:rowOff>
    </xdr:from>
    <xdr:to>
      <xdr:col>11</xdr:col>
      <xdr:colOff>312420</xdr:colOff>
      <xdr:row>17</xdr:row>
      <xdr:rowOff>66974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74628" y="2330630"/>
          <a:ext cx="1164772" cy="1211064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76201</xdr:colOff>
      <xdr:row>1</xdr:row>
      <xdr:rowOff>45720</xdr:rowOff>
    </xdr:from>
    <xdr:to>
      <xdr:col>9</xdr:col>
      <xdr:colOff>150685</xdr:colOff>
      <xdr:row>29</xdr:row>
      <xdr:rowOff>22860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201" y="228600"/>
          <a:ext cx="7206804" cy="5097780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224245</xdr:colOff>
      <xdr:row>11</xdr:row>
      <xdr:rowOff>143692</xdr:rowOff>
    </xdr:from>
    <xdr:to>
      <xdr:col>11</xdr:col>
      <xdr:colOff>662742</xdr:colOff>
      <xdr:row>19</xdr:row>
      <xdr:rowOff>163286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63302" y="2190206"/>
          <a:ext cx="2158440" cy="1500051"/>
        </a:xfrm>
        <a:prstGeom prst="rect">
          <a:avLst/>
        </a:prstGeom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121920</xdr:colOff>
      <xdr:row>1</xdr:row>
      <xdr:rowOff>99061</xdr:rowOff>
    </xdr:from>
    <xdr:to>
      <xdr:col>9</xdr:col>
      <xdr:colOff>706603</xdr:colOff>
      <xdr:row>31</xdr:row>
      <xdr:rowOff>76200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20" y="281941"/>
          <a:ext cx="7755103" cy="5463539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304800</xdr:colOff>
      <xdr:row>11</xdr:row>
      <xdr:rowOff>87085</xdr:rowOff>
    </xdr:from>
    <xdr:to>
      <xdr:col>11</xdr:col>
      <xdr:colOff>511629</xdr:colOff>
      <xdr:row>17</xdr:row>
      <xdr:rowOff>25730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087600" y="2122714"/>
          <a:ext cx="1001486" cy="1048987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175260</xdr:colOff>
      <xdr:row>1</xdr:row>
      <xdr:rowOff>45720</xdr:rowOff>
    </xdr:from>
    <xdr:to>
      <xdr:col>9</xdr:col>
      <xdr:colOff>637554</xdr:colOff>
      <xdr:row>30</xdr:row>
      <xdr:rowOff>114300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8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260" y="228600"/>
          <a:ext cx="7594614" cy="53721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SU_A1300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microsoft.com/office/2006/relationships/xlExternalLinkPath/xlPathMissing" Target="Classeur2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OM"/>
      <sheetName val="SU A1300"/>
      <sheetName val="SU 13001"/>
      <sheetName val="dSU 13001"/>
      <sheetName val="SU 13002"/>
      <sheetName val="dSU 13002"/>
    </sheetNames>
    <sheetDataSet>
      <sheetData sheetId="0"/>
      <sheetData sheetId="1">
        <row r="3">
          <cell r="B3" t="str">
            <v>Suspension &amp; Shocks</v>
          </cell>
        </row>
      </sheetData>
      <sheetData sheetId="2"/>
      <sheetData sheetId="3"/>
      <sheetData sheetId="4"/>
      <sheetData sheetId="5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_A0200"/>
      <sheetName val="SU_02001"/>
      <sheetName val="SU_02002"/>
      <sheetName val="SU_02003"/>
      <sheetName val="SU_02004"/>
      <sheetName val="SU_02005"/>
      <sheetName val="SU_02006"/>
      <sheetName val="SU Drawing Part 1"/>
      <sheetName val="SU Drawing Part 2"/>
      <sheetName val="SU Drawing Part 5"/>
      <sheetName val="SU Drawing Part 6"/>
    </sheetNames>
    <sheetDataSet>
      <sheetData sheetId="0" refreshError="1">
        <row r="3">
          <cell r="B3" t="str">
            <v>Suspension &amp; Shocks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100.bin"/></Relationships>
</file>

<file path=xl/worksheets/_rels/sheet1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101.bin"/></Relationships>
</file>

<file path=xl/worksheets/_rels/sheet10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102.bin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3.bin"/></Relationships>
</file>

<file path=xl/worksheets/_rels/sheet10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104.bin"/></Relationships>
</file>

<file path=xl/worksheets/_rels/sheet10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105.bin"/></Relationships>
</file>

<file path=xl/worksheets/_rels/sheet10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106.bin"/></Relationships>
</file>

<file path=xl/worksheets/_rels/sheet10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107.bin"/></Relationships>
</file>

<file path=xl/worksheets/_rels/sheet10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108.bin"/></Relationships>
</file>

<file path=xl/worksheets/_rels/sheet10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10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110.bin"/></Relationships>
</file>

<file path=xl/worksheets/_rels/sheet1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1.bin"/></Relationships>
</file>

<file path=xl/worksheets/_rels/sheet1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112.bin"/></Relationships>
</file>

<file path=xl/worksheets/_rels/sheet1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113.bin"/></Relationships>
</file>

<file path=xl/worksheets/_rels/sheet1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114.bin"/></Relationships>
</file>

<file path=xl/worksheets/_rels/sheet1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115.bin"/></Relationships>
</file>

<file path=xl/worksheets/_rels/sheet1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116.bin"/></Relationships>
</file>

<file path=xl/worksheets/_rels/sheet1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117.bin"/></Relationships>
</file>

<file path=xl/worksheets/_rels/sheet1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118.bin"/></Relationships>
</file>

<file path=xl/worksheets/_rels/sheet1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119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1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120.bin"/></Relationships>
</file>

<file path=xl/worksheets/_rels/sheet1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121.bin"/></Relationships>
</file>

<file path=xl/worksheets/_rels/sheet1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2.bin"/></Relationships>
</file>

<file path=xl/worksheets/_rels/sheet1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123.bin"/></Relationships>
</file>

<file path=xl/worksheets/_rels/sheet1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124.bin"/></Relationships>
</file>

<file path=xl/worksheets/_rels/sheet1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125.bin"/></Relationships>
</file>

<file path=xl/worksheets/_rels/sheet1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126.bin"/></Relationships>
</file>

<file path=xl/worksheets/_rels/sheet1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127.bin"/></Relationships>
</file>

<file path=xl/worksheets/_rels/sheet1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128.bin"/></Relationships>
</file>

<file path=xl/worksheets/_rels/sheet1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7.xml"/><Relationship Id="rId1" Type="http://schemas.openxmlformats.org/officeDocument/2006/relationships/printerSettings" Target="../printerSettings/printerSettings12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3.bin"/></Relationships>
</file>

<file path=xl/worksheets/_rels/sheet1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130.bin"/></Relationships>
</file>

<file path=xl/worksheets/_rels/sheet1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1.bin"/></Relationships>
</file>

<file path=xl/worksheets/_rels/sheet1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132.bin"/></Relationships>
</file>

<file path=xl/worksheets/_rels/sheet1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133.bin"/></Relationships>
</file>

<file path=xl/worksheets/_rels/sheet1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134.bin"/></Relationships>
</file>

<file path=xl/worksheets/_rels/sheet1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2.xml"/><Relationship Id="rId1" Type="http://schemas.openxmlformats.org/officeDocument/2006/relationships/printerSettings" Target="../printerSettings/printerSettings135.bin"/></Relationships>
</file>

<file path=xl/worksheets/_rels/sheet1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3.xml"/><Relationship Id="rId1" Type="http://schemas.openxmlformats.org/officeDocument/2006/relationships/printerSettings" Target="../printerSettings/printerSettings136.bin"/></Relationships>
</file>

<file path=xl/worksheets/_rels/sheet1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4.xml"/><Relationship Id="rId1" Type="http://schemas.openxmlformats.org/officeDocument/2006/relationships/printerSettings" Target="../printerSettings/printerSettings137.bin"/></Relationships>
</file>

<file path=xl/worksheets/_rels/sheet1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5.xml"/><Relationship Id="rId1" Type="http://schemas.openxmlformats.org/officeDocument/2006/relationships/printerSettings" Target="../printerSettings/printerSettings138.bin"/></Relationships>
</file>

<file path=xl/worksheets/_rels/sheet13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9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4.bin"/></Relationships>
</file>

<file path=xl/worksheets/_rels/sheet1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6.xml"/><Relationship Id="rId1" Type="http://schemas.openxmlformats.org/officeDocument/2006/relationships/printerSettings" Target="../printerSettings/printerSettings140.bin"/></Relationships>
</file>

<file path=xl/worksheets/_rels/sheet1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141.bin"/></Relationships>
</file>

<file path=xl/worksheets/_rels/sheet1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142.bin"/></Relationships>
</file>

<file path=xl/worksheets/_rels/sheet1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14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8.bin"/></Relationships>
</file>

<file path=xl/worksheets/_rels/sheet7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79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0.bin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81.bin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2.bin"/></Relationships>
</file>

<file path=xl/worksheets/_rels/sheet8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83.bin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4.bin"/></Relationships>
</file>

<file path=xl/worksheets/_rels/sheet8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85.bin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6.bin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7.bin"/></Relationships>
</file>

<file path=xl/worksheets/_rels/sheet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88.bin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9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90.bin"/></Relationships>
</file>

<file path=xl/worksheets/_rels/sheet9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91.bin"/></Relationships>
</file>

<file path=xl/worksheets/_rels/sheet9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92.bin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93.bin"/></Relationships>
</file>

<file path=xl/worksheets/_rels/sheet9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94.bin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5.bin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6.bin"/></Relationships>
</file>

<file path=xl/worksheets/_rels/sheet9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97.bin"/></Relationships>
</file>

<file path=xl/worksheets/_rels/sheet9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8.bin"/></Relationships>
</file>

<file path=xl/worksheets/_rels/sheet9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9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O238"/>
  <sheetViews>
    <sheetView topLeftCell="A46" zoomScale="70" zoomScaleNormal="70" zoomScalePageLayoutView="50" workbookViewId="0">
      <selection activeCell="F74" sqref="F74"/>
    </sheetView>
  </sheetViews>
  <sheetFormatPr baseColWidth="10" defaultColWidth="9.140625" defaultRowHeight="12.75" x14ac:dyDescent="0.2"/>
  <cols>
    <col min="1" max="1" width="17.42578125" style="9" bestFit="1" customWidth="1"/>
    <col min="2" max="2" width="28.7109375" style="13" bestFit="1" customWidth="1"/>
    <col min="3" max="3" width="13.5703125" style="9" customWidth="1"/>
    <col min="4" max="4" width="10" style="9" bestFit="1" customWidth="1"/>
    <col min="5" max="5" width="23" style="9" customWidth="1"/>
    <col min="6" max="6" width="39.140625" style="42" customWidth="1"/>
    <col min="7" max="7" width="14" style="9" customWidth="1"/>
    <col min="8" max="8" width="11" style="9" bestFit="1" customWidth="1"/>
    <col min="9" max="9" width="10.42578125" style="6" customWidth="1"/>
    <col min="10" max="10" width="11.85546875" style="6" customWidth="1"/>
    <col min="11" max="13" width="10.42578125" style="6" customWidth="1"/>
    <col min="14" max="14" width="12.28515625" style="9" customWidth="1"/>
    <col min="15" max="15" width="11.140625" style="13" customWidth="1"/>
    <col min="16" max="16384" width="9.140625" style="13"/>
  </cols>
  <sheetData>
    <row r="1" spans="1:15" ht="15.75" thickBot="1" x14ac:dyDescent="0.3">
      <c r="A1" s="52" t="s">
        <v>0</v>
      </c>
      <c r="B1" s="91" t="s">
        <v>37</v>
      </c>
      <c r="D1" s="43"/>
      <c r="M1" s="55" t="s">
        <v>41</v>
      </c>
      <c r="N1" s="44"/>
      <c r="O1" s="54" t="e">
        <f>#REF!</f>
        <v>#REF!</v>
      </c>
    </row>
    <row r="2" spans="1:15" s="15" customFormat="1" ht="15.75" thickBot="1" x14ac:dyDescent="0.3">
      <c r="A2" s="50" t="s">
        <v>42</v>
      </c>
      <c r="B2" s="90" t="s">
        <v>61</v>
      </c>
      <c r="C2" s="14"/>
      <c r="F2" s="38"/>
    </row>
    <row r="3" spans="1:15" s="15" customFormat="1" ht="16.5" thickTop="1" thickBot="1" x14ac:dyDescent="0.3">
      <c r="A3" s="51" t="s">
        <v>43</v>
      </c>
      <c r="B3" s="53">
        <v>2018</v>
      </c>
      <c r="C3" s="14"/>
      <c r="F3" s="38"/>
    </row>
    <row r="4" spans="1:15" s="15" customFormat="1" ht="16.5" thickTop="1" thickBot="1" x14ac:dyDescent="0.3">
      <c r="A4" s="49" t="s">
        <v>1</v>
      </c>
      <c r="B4" s="89">
        <v>81</v>
      </c>
      <c r="C4" s="14"/>
      <c r="D4" s="43" t="s">
        <v>44</v>
      </c>
      <c r="F4" s="38"/>
    </row>
    <row r="5" spans="1:15" s="36" customFormat="1" ht="15.75" thickTop="1" x14ac:dyDescent="0.25">
      <c r="A5" s="35"/>
      <c r="B5" s="39"/>
      <c r="C5" s="37"/>
      <c r="F5" s="40"/>
    </row>
    <row r="6" spans="1:15" s="34" customFormat="1" ht="49.15" customHeight="1" x14ac:dyDescent="0.25">
      <c r="A6" s="33" t="s">
        <v>45</v>
      </c>
      <c r="B6" s="46" t="s">
        <v>46</v>
      </c>
      <c r="C6" s="46" t="s">
        <v>47</v>
      </c>
      <c r="D6" s="46" t="s">
        <v>48</v>
      </c>
      <c r="E6" s="46" t="s">
        <v>49</v>
      </c>
      <c r="F6" s="46" t="s">
        <v>50</v>
      </c>
      <c r="G6" s="46" t="s">
        <v>51</v>
      </c>
      <c r="H6" s="48" t="s">
        <v>52</v>
      </c>
      <c r="I6" s="46" t="s">
        <v>17</v>
      </c>
      <c r="J6" s="46" t="s">
        <v>53</v>
      </c>
      <c r="K6" s="46" t="s">
        <v>54</v>
      </c>
      <c r="L6" s="46" t="s">
        <v>55</v>
      </c>
      <c r="M6" s="46" t="s">
        <v>56</v>
      </c>
      <c r="N6" s="47" t="s">
        <v>57</v>
      </c>
      <c r="O6" s="46" t="s">
        <v>58</v>
      </c>
    </row>
    <row r="7" spans="1:15" ht="15" x14ac:dyDescent="0.25">
      <c r="A7" s="109"/>
      <c r="B7" s="110" t="s">
        <v>63</v>
      </c>
      <c r="C7" s="111" t="str">
        <f>SU_A0100</f>
        <v>SU A0100</v>
      </c>
      <c r="D7" s="111" t="s">
        <v>11</v>
      </c>
      <c r="E7" s="111"/>
      <c r="F7" s="140" t="str">
        <f>'SU A0100'!B4</f>
        <v>Upper Front A-arm</v>
      </c>
      <c r="G7" s="111"/>
      <c r="H7" s="112">
        <f t="shared" ref="H7:H14" si="0">SUM(J7:M7)</f>
        <v>38.579540947087935</v>
      </c>
      <c r="I7" s="147">
        <f>SU_A0100_q</f>
        <v>2</v>
      </c>
      <c r="J7" s="113">
        <f>SU_A0100_m</f>
        <v>20.759999999999998</v>
      </c>
      <c r="K7" s="113">
        <f>SU_A0100_p</f>
        <v>16.033700000000003</v>
      </c>
      <c r="L7" s="113">
        <f>SU_A0100_f</f>
        <v>0.45250761375459631</v>
      </c>
      <c r="M7" s="113">
        <f>SU_A0100_t</f>
        <v>1.3333333333333333</v>
      </c>
      <c r="N7" s="114">
        <f t="shared" ref="N7:N14" si="1">H7*I7</f>
        <v>77.15908189417587</v>
      </c>
      <c r="O7" s="115"/>
    </row>
    <row r="8" spans="1:15" ht="15" x14ac:dyDescent="0.25">
      <c r="A8" s="116"/>
      <c r="B8" s="116" t="s">
        <v>63</v>
      </c>
      <c r="C8" s="117" t="str">
        <f>SU_01001</f>
        <v>SU_01001</v>
      </c>
      <c r="D8" s="117" t="s">
        <v>11</v>
      </c>
      <c r="E8" s="117" t="str">
        <f>$F$7</f>
        <v>Upper Front A-arm</v>
      </c>
      <c r="F8" s="118" t="str">
        <f>'SU 01001'!B5</f>
        <v>Upper Front Bearing Support</v>
      </c>
      <c r="G8" s="117"/>
      <c r="H8" s="119">
        <f t="shared" si="0"/>
        <v>15.090551905600002</v>
      </c>
      <c r="I8" s="123">
        <f>SU_A0100_q*SU_01001_q</f>
        <v>2</v>
      </c>
      <c r="J8" s="120">
        <f>SU_01001_m</f>
        <v>2.6965519055999998</v>
      </c>
      <c r="K8" s="120">
        <f>SU_01001_p</f>
        <v>12.394000000000002</v>
      </c>
      <c r="L8" s="120">
        <v>0</v>
      </c>
      <c r="M8" s="120">
        <v>0</v>
      </c>
      <c r="N8" s="121">
        <f t="shared" si="1"/>
        <v>30.181103811200003</v>
      </c>
      <c r="O8" s="122"/>
    </row>
    <row r="9" spans="1:15" ht="15" x14ac:dyDescent="0.25">
      <c r="A9" s="116"/>
      <c r="B9" s="116" t="s">
        <v>63</v>
      </c>
      <c r="C9" s="117" t="str">
        <f>SU_01002</f>
        <v>SU_01002</v>
      </c>
      <c r="D9" s="117" t="s">
        <v>11</v>
      </c>
      <c r="E9" s="117" t="str">
        <f t="shared" ref="E9:E18" si="2">$F$7</f>
        <v>Upper Front A-arm</v>
      </c>
      <c r="F9" s="118" t="str">
        <f>'SU 01002'!B5</f>
        <v>Inner Bearing Support</v>
      </c>
      <c r="G9" s="117"/>
      <c r="H9" s="119">
        <f t="shared" si="0"/>
        <v>1.8728805440000003</v>
      </c>
      <c r="I9" s="123">
        <f>SU_A0100_q*SU_01002_q</f>
        <v>4</v>
      </c>
      <c r="J9" s="120">
        <f>SU_01002_m</f>
        <v>0.85838054400000008</v>
      </c>
      <c r="K9" s="120">
        <f>SU_01002_p</f>
        <v>1.0145000000000002</v>
      </c>
      <c r="L9" s="120">
        <v>0</v>
      </c>
      <c r="M9" s="120">
        <v>0</v>
      </c>
      <c r="N9" s="121">
        <f t="shared" si="1"/>
        <v>7.491522176000001</v>
      </c>
      <c r="O9" s="122"/>
    </row>
    <row r="10" spans="1:15" ht="15" x14ac:dyDescent="0.25">
      <c r="A10" s="116"/>
      <c r="B10" s="116" t="s">
        <v>63</v>
      </c>
      <c r="C10" s="117" t="str">
        <f>SU_01003</f>
        <v>SU_01003</v>
      </c>
      <c r="D10" s="117" t="s">
        <v>11</v>
      </c>
      <c r="E10" s="117" t="str">
        <f t="shared" si="2"/>
        <v>Upper Front A-arm</v>
      </c>
      <c r="F10" s="118" t="str">
        <f>'SU 01003'!B5</f>
        <v>Upper Front A-arm tube (Front)  Carbon Fiber Tube</v>
      </c>
      <c r="G10" s="117"/>
      <c r="H10" s="119">
        <f t="shared" si="0"/>
        <v>8.8765790399999975</v>
      </c>
      <c r="I10" s="123">
        <f>SU_A0100_q*SU_01003_q</f>
        <v>2</v>
      </c>
      <c r="J10" s="120">
        <f>SU_01003_m</f>
        <v>7.8902924799999985</v>
      </c>
      <c r="K10" s="120">
        <f>SU_01003_p</f>
        <v>0.98628655999999981</v>
      </c>
      <c r="L10" s="120">
        <v>0</v>
      </c>
      <c r="M10" s="120">
        <v>0</v>
      </c>
      <c r="N10" s="121">
        <f t="shared" si="1"/>
        <v>17.753158079999995</v>
      </c>
      <c r="O10" s="122"/>
    </row>
    <row r="11" spans="1:15" ht="15" x14ac:dyDescent="0.25">
      <c r="A11" s="116"/>
      <c r="B11" s="116" t="s">
        <v>63</v>
      </c>
      <c r="C11" s="117" t="str">
        <f>SU_01004</f>
        <v>SU_01004</v>
      </c>
      <c r="D11" s="117" t="s">
        <v>11</v>
      </c>
      <c r="E11" s="117" t="str">
        <f t="shared" si="2"/>
        <v>Upper Front A-arm</v>
      </c>
      <c r="F11" s="118" t="str">
        <f>'SU 01004'!B5</f>
        <v>Upper Front A-arm tube (Back)  Carbon Fiber Tube</v>
      </c>
      <c r="G11" s="117"/>
      <c r="H11" s="119">
        <f t="shared" si="0"/>
        <v>7.1887787999999988</v>
      </c>
      <c r="I11" s="123">
        <f>SU_A0100_q*SU_01004_q</f>
        <v>2</v>
      </c>
      <c r="J11" s="120">
        <f>SU_01004_m</f>
        <v>6.3900255999999986</v>
      </c>
      <c r="K11" s="120">
        <f>SU_01004_p</f>
        <v>0.79875319999999983</v>
      </c>
      <c r="L11" s="120">
        <v>0</v>
      </c>
      <c r="M11" s="120">
        <v>0</v>
      </c>
      <c r="N11" s="121">
        <f t="shared" si="1"/>
        <v>14.377557599999998</v>
      </c>
      <c r="O11" s="122"/>
    </row>
    <row r="12" spans="1:15" ht="15" x14ac:dyDescent="0.25">
      <c r="A12" s="116"/>
      <c r="B12" s="116" t="s">
        <v>63</v>
      </c>
      <c r="C12" s="117" t="str">
        <f>SU_01005</f>
        <v>SU_01005</v>
      </c>
      <c r="D12" s="117" t="s">
        <v>11</v>
      </c>
      <c r="E12" s="117" t="str">
        <f t="shared" si="2"/>
        <v>Upper Front A-arm</v>
      </c>
      <c r="F12" s="118" t="str">
        <f>'SU 01005'!B5</f>
        <v>Spacer 1</v>
      </c>
      <c r="G12" s="117"/>
      <c r="H12" s="119">
        <f t="shared" si="0"/>
        <v>0.98904401600000003</v>
      </c>
      <c r="I12" s="123">
        <f>SU_A0100_q*SU_01005_q</f>
        <v>4</v>
      </c>
      <c r="J12" s="120">
        <f>SU_01005_m</f>
        <v>3.9044016000000001E-2</v>
      </c>
      <c r="K12" s="120">
        <f>SU_01005_p</f>
        <v>0.95000000000000007</v>
      </c>
      <c r="L12" s="120">
        <v>0</v>
      </c>
      <c r="M12" s="120">
        <v>0</v>
      </c>
      <c r="N12" s="121">
        <f t="shared" si="1"/>
        <v>3.9561760640000001</v>
      </c>
      <c r="O12" s="122"/>
    </row>
    <row r="13" spans="1:15" ht="15" x14ac:dyDescent="0.25">
      <c r="A13" s="116"/>
      <c r="B13" s="116" t="s">
        <v>63</v>
      </c>
      <c r="C13" s="117" t="str">
        <f>SU_01006</f>
        <v>SU_01006</v>
      </c>
      <c r="D13" s="117" t="s">
        <v>11</v>
      </c>
      <c r="E13" s="117" t="str">
        <f t="shared" si="2"/>
        <v>Upper Front A-arm</v>
      </c>
      <c r="F13" s="118" t="str">
        <f>'SU 01006'!B5</f>
        <v>Spacer 2</v>
      </c>
      <c r="G13" s="117"/>
      <c r="H13" s="119">
        <f t="shared" ref="H13" si="3">SUM(J13:M13)</f>
        <v>0.32421353411764708</v>
      </c>
      <c r="I13" s="123">
        <f>SU_A0100_q*SU_01006_q</f>
        <v>8</v>
      </c>
      <c r="J13" s="120">
        <f>SU_01006_m</f>
        <v>0.14197824000000003</v>
      </c>
      <c r="K13" s="120">
        <f>SU_01006_p</f>
        <v>0.18223529411764708</v>
      </c>
      <c r="L13" s="120">
        <v>0</v>
      </c>
      <c r="M13" s="120">
        <v>0</v>
      </c>
      <c r="N13" s="121">
        <f t="shared" ref="N13" si="4">H13*I13</f>
        <v>2.5937082729411767</v>
      </c>
      <c r="O13" s="122"/>
    </row>
    <row r="14" spans="1:15" ht="15" x14ac:dyDescent="0.25">
      <c r="A14" s="116"/>
      <c r="B14" s="116" t="s">
        <v>63</v>
      </c>
      <c r="C14" s="117" t="str">
        <f>SU_01007</f>
        <v>SU_01007</v>
      </c>
      <c r="D14" s="117" t="s">
        <v>11</v>
      </c>
      <c r="E14" s="117" t="str">
        <f t="shared" si="2"/>
        <v>Upper Front A-arm</v>
      </c>
      <c r="F14" s="118" t="str">
        <f>'SU 01007'!$B$5</f>
        <v>Outboard A-arm Insert</v>
      </c>
      <c r="G14" s="117"/>
      <c r="H14" s="119">
        <f t="shared" si="0"/>
        <v>0.47719727680000001</v>
      </c>
      <c r="I14" s="123">
        <f>SU_A0100_q*SU_01007_q</f>
        <v>4</v>
      </c>
      <c r="J14" s="120">
        <f>SU_01007_m</f>
        <v>7.7197276800000006E-2</v>
      </c>
      <c r="K14" s="120">
        <f>SU_01007_p</f>
        <v>0.4</v>
      </c>
      <c r="L14" s="120">
        <v>0</v>
      </c>
      <c r="M14" s="120">
        <v>0</v>
      </c>
      <c r="N14" s="121">
        <f t="shared" si="1"/>
        <v>1.9087891072000001</v>
      </c>
      <c r="O14" s="122"/>
    </row>
    <row r="15" spans="1:15" ht="15" x14ac:dyDescent="0.25">
      <c r="A15" s="116"/>
      <c r="B15" s="116" t="s">
        <v>63</v>
      </c>
      <c r="C15" s="117" t="str">
        <f>SU_01008</f>
        <v>SU_01008</v>
      </c>
      <c r="D15" s="117" t="s">
        <v>11</v>
      </c>
      <c r="E15" s="117" t="str">
        <f t="shared" si="2"/>
        <v>Upper Front A-arm</v>
      </c>
      <c r="F15" s="118" t="str">
        <f>'SU 01008'!$B$5</f>
        <v>Front up bracket</v>
      </c>
      <c r="G15" s="117"/>
      <c r="H15" s="119">
        <f t="shared" ref="H15:H18" si="5">SUM(J15:M15)</f>
        <v>1.3930602499999998</v>
      </c>
      <c r="I15" s="123">
        <f>SU_A0100_q*SU_01008_q</f>
        <v>2</v>
      </c>
      <c r="J15" s="120">
        <f>SU_01008_m</f>
        <v>0.14773825000000002</v>
      </c>
      <c r="K15" s="120">
        <f>SU_01008_p</f>
        <v>1.2453219999999998</v>
      </c>
      <c r="L15" s="120">
        <v>0</v>
      </c>
      <c r="M15" s="120">
        <v>0</v>
      </c>
      <c r="N15" s="121">
        <f t="shared" ref="N15:N18" si="6">H15*I15</f>
        <v>2.7861204999999996</v>
      </c>
      <c r="O15" s="122"/>
    </row>
    <row r="16" spans="1:15" ht="15" x14ac:dyDescent="0.25">
      <c r="A16" s="116"/>
      <c r="B16" s="116" t="s">
        <v>63</v>
      </c>
      <c r="C16" s="117" t="str">
        <f>SU_01009</f>
        <v>SU_01009</v>
      </c>
      <c r="D16" s="117" t="s">
        <v>11</v>
      </c>
      <c r="E16" s="117" t="str">
        <f t="shared" si="2"/>
        <v>Upper Front A-arm</v>
      </c>
      <c r="F16" s="118" t="str">
        <f>'SU 01009'!$B$5</f>
        <v>Front down bracket</v>
      </c>
      <c r="G16" s="117"/>
      <c r="H16" s="119">
        <f t="shared" si="5"/>
        <v>1.3590899374999998</v>
      </c>
      <c r="I16" s="123">
        <f>SU_A0100_q*SU_01009_q</f>
        <v>2</v>
      </c>
      <c r="J16" s="120">
        <f>SU_01009_m</f>
        <v>0.1450304375</v>
      </c>
      <c r="K16" s="120">
        <f>SU_01009_p</f>
        <v>1.2140594999999998</v>
      </c>
      <c r="L16" s="120">
        <v>0</v>
      </c>
      <c r="M16" s="120">
        <v>0</v>
      </c>
      <c r="N16" s="121">
        <f t="shared" si="6"/>
        <v>2.7181798749999997</v>
      </c>
      <c r="O16" s="122"/>
    </row>
    <row r="17" spans="1:15" ht="15" x14ac:dyDescent="0.25">
      <c r="A17" s="116"/>
      <c r="B17" s="116" t="s">
        <v>63</v>
      </c>
      <c r="C17" s="117" t="str">
        <f>SU_01010</f>
        <v>SU_01010</v>
      </c>
      <c r="D17" s="117" t="s">
        <v>11</v>
      </c>
      <c r="E17" s="117" t="str">
        <f t="shared" si="2"/>
        <v>Upper Front A-arm</v>
      </c>
      <c r="F17" s="118" t="str">
        <f>'SU 01010'!$B$5</f>
        <v>Rear up bracket</v>
      </c>
      <c r="G17" s="117"/>
      <c r="H17" s="119">
        <f t="shared" si="5"/>
        <v>1.3143274375</v>
      </c>
      <c r="I17" s="123">
        <f>SU_A0100_q*SU_01010_q</f>
        <v>2</v>
      </c>
      <c r="J17" s="120">
        <f>SU_01010_m</f>
        <v>0.1233679375</v>
      </c>
      <c r="K17" s="120">
        <f>SU_01010_p</f>
        <v>1.1909594999999999</v>
      </c>
      <c r="L17" s="120">
        <v>0</v>
      </c>
      <c r="M17" s="120">
        <v>0</v>
      </c>
      <c r="N17" s="121">
        <f t="shared" si="6"/>
        <v>2.6286548750000001</v>
      </c>
      <c r="O17" s="122"/>
    </row>
    <row r="18" spans="1:15" ht="15" x14ac:dyDescent="0.25">
      <c r="A18" s="116"/>
      <c r="B18" s="116" t="s">
        <v>63</v>
      </c>
      <c r="C18" s="117" t="str">
        <f>SU_01011</f>
        <v>SU_01011</v>
      </c>
      <c r="D18" s="117" t="s">
        <v>11</v>
      </c>
      <c r="E18" s="117" t="str">
        <f t="shared" si="2"/>
        <v>Upper Front A-arm</v>
      </c>
      <c r="F18" s="118" t="str">
        <f>'SU 01011'!$B$5</f>
        <v>Rear down bracket</v>
      </c>
      <c r="G18" s="117"/>
      <c r="H18" s="119">
        <f t="shared" si="5"/>
        <v>1.3278918750000002</v>
      </c>
      <c r="I18" s="123">
        <f>SU_A0100_q*SU_01011_q</f>
        <v>2</v>
      </c>
      <c r="J18" s="120">
        <f>SU_01011_m</f>
        <v>0.13755687500000002</v>
      </c>
      <c r="K18" s="120">
        <f>SU_01011_p</f>
        <v>1.1903350000000001</v>
      </c>
      <c r="L18" s="120">
        <v>0</v>
      </c>
      <c r="M18" s="120">
        <v>0</v>
      </c>
      <c r="N18" s="121">
        <f t="shared" si="6"/>
        <v>2.6557837500000003</v>
      </c>
      <c r="O18" s="122"/>
    </row>
    <row r="19" spans="1:15" ht="15" x14ac:dyDescent="0.25">
      <c r="A19" s="109"/>
      <c r="B19" s="110" t="s">
        <v>63</v>
      </c>
      <c r="C19" s="111" t="str">
        <f>SU_A0200</f>
        <v>SU A0200</v>
      </c>
      <c r="D19" s="111" t="s">
        <v>11</v>
      </c>
      <c r="E19" s="111"/>
      <c r="F19" s="140" t="str">
        <f>'SU A0200'!B4</f>
        <v>Lower Front A-arm</v>
      </c>
      <c r="G19" s="111"/>
      <c r="H19" s="112">
        <f t="shared" ref="H19:H26" si="7">SUM(J19:M19)</f>
        <v>38.579540947087935</v>
      </c>
      <c r="I19" s="147">
        <f>SU_A0200_q</f>
        <v>2</v>
      </c>
      <c r="J19" s="113">
        <f>SU_A0200_m</f>
        <v>20.759999999999998</v>
      </c>
      <c r="K19" s="113">
        <f>SU_A0200_p</f>
        <v>16.033700000000003</v>
      </c>
      <c r="L19" s="113">
        <f>SU_A0200_f</f>
        <v>0.45250761375459631</v>
      </c>
      <c r="M19" s="113">
        <f>SU_A0200_t</f>
        <v>1.3333333333333333</v>
      </c>
      <c r="N19" s="114">
        <f t="shared" ref="N19:N26" si="8">H19*I19</f>
        <v>77.15908189417587</v>
      </c>
      <c r="O19" s="115"/>
    </row>
    <row r="20" spans="1:15" ht="15" x14ac:dyDescent="0.25">
      <c r="A20" s="116"/>
      <c r="B20" s="116" t="s">
        <v>63</v>
      </c>
      <c r="C20" s="117" t="str">
        <f>SU_02001</f>
        <v>SU 02001</v>
      </c>
      <c r="D20" s="117" t="s">
        <v>11</v>
      </c>
      <c r="E20" s="117" t="str">
        <f>$F$19</f>
        <v>Lower Front A-arm</v>
      </c>
      <c r="F20" s="118" t="str">
        <f>'SU 02001'!B5</f>
        <v>Lower Front Bearing Support</v>
      </c>
      <c r="G20" s="117"/>
      <c r="H20" s="119">
        <f t="shared" si="7"/>
        <v>9.1140000000000008</v>
      </c>
      <c r="I20" s="123">
        <f>SU_A0200_q*SU_02001_q</f>
        <v>2</v>
      </c>
      <c r="J20" s="120">
        <f>SU_02001_m</f>
        <v>4.2</v>
      </c>
      <c r="K20" s="120">
        <f>SU_02001_p</f>
        <v>4.9140000000000006</v>
      </c>
      <c r="L20" s="120">
        <v>0</v>
      </c>
      <c r="M20" s="120">
        <v>0</v>
      </c>
      <c r="N20" s="121">
        <f t="shared" si="8"/>
        <v>18.228000000000002</v>
      </c>
      <c r="O20" s="122"/>
    </row>
    <row r="21" spans="1:15" ht="15" x14ac:dyDescent="0.25">
      <c r="A21" s="116"/>
      <c r="B21" s="116" t="s">
        <v>63</v>
      </c>
      <c r="C21" s="117" t="str">
        <f>SU_02002</f>
        <v>SU 02002</v>
      </c>
      <c r="D21" s="117" t="s">
        <v>11</v>
      </c>
      <c r="E21" s="117" t="str">
        <f t="shared" ref="E21:E30" si="9">$F$19</f>
        <v>Lower Front A-arm</v>
      </c>
      <c r="F21" s="118" t="str">
        <f>'SU 02002'!B5</f>
        <v>Inner Bearing Support</v>
      </c>
      <c r="G21" s="117"/>
      <c r="H21" s="119">
        <f t="shared" si="7"/>
        <v>1.8728805440000003</v>
      </c>
      <c r="I21" s="123">
        <f>SU_A0200_q*SU_02002_q</f>
        <v>4</v>
      </c>
      <c r="J21" s="120">
        <f>SU_02002_m</f>
        <v>0.85838054400000008</v>
      </c>
      <c r="K21" s="120">
        <f>SU_02002_p</f>
        <v>1.0145000000000002</v>
      </c>
      <c r="L21" s="120">
        <v>0</v>
      </c>
      <c r="M21" s="120">
        <v>0</v>
      </c>
      <c r="N21" s="121">
        <f t="shared" si="8"/>
        <v>7.491522176000001</v>
      </c>
      <c r="O21" s="122"/>
    </row>
    <row r="22" spans="1:15" ht="15" x14ac:dyDescent="0.25">
      <c r="A22" s="116"/>
      <c r="B22" s="116" t="s">
        <v>63</v>
      </c>
      <c r="C22" s="117" t="str">
        <f>SU_02003</f>
        <v>SU_02003</v>
      </c>
      <c r="D22" s="117" t="s">
        <v>11</v>
      </c>
      <c r="E22" s="117" t="str">
        <f t="shared" si="9"/>
        <v>Lower Front A-arm</v>
      </c>
      <c r="F22" s="118" t="str">
        <f>'SU 02003'!B5</f>
        <v>Lower Front A-arm tube (Front)  Carbon Fiber Tube</v>
      </c>
      <c r="G22" s="117"/>
      <c r="H22" s="119">
        <f t="shared" si="7"/>
        <v>11.220746039999998</v>
      </c>
      <c r="I22" s="123">
        <f>SU_A0200_q*SU_02003_q</f>
        <v>2</v>
      </c>
      <c r="J22" s="120">
        <f>SU_02003_m</f>
        <v>9.9739964799999985</v>
      </c>
      <c r="K22" s="120">
        <f>SU_02003_p</f>
        <v>1.2467495599999998</v>
      </c>
      <c r="L22" s="120">
        <v>0</v>
      </c>
      <c r="M22" s="120">
        <v>0</v>
      </c>
      <c r="N22" s="121">
        <f t="shared" si="8"/>
        <v>22.441492079999996</v>
      </c>
      <c r="O22" s="122"/>
    </row>
    <row r="23" spans="1:15" ht="15" x14ac:dyDescent="0.25">
      <c r="A23" s="116"/>
      <c r="B23" s="116" t="s">
        <v>63</v>
      </c>
      <c r="C23" s="117" t="str">
        <f>SU_02004</f>
        <v>SU_02004</v>
      </c>
      <c r="D23" s="117" t="s">
        <v>11</v>
      </c>
      <c r="E23" s="117" t="str">
        <f t="shared" si="9"/>
        <v>Lower Front A-arm</v>
      </c>
      <c r="F23" s="118" t="str">
        <f>'SU 02004'!B5</f>
        <v>Lower Front A-arm tube (Back)  Carbon Fiber Tube</v>
      </c>
      <c r="G23" s="117"/>
      <c r="H23" s="119">
        <f t="shared" si="7"/>
        <v>10.001779199999998</v>
      </c>
      <c r="I23" s="123">
        <f>SU_A0200_q*SU_02004_q</f>
        <v>2</v>
      </c>
      <c r="J23" s="120">
        <f>SU_02004_m</f>
        <v>8.8904703999999981</v>
      </c>
      <c r="K23" s="120">
        <f>SU_02004_p</f>
        <v>1.1113087999999998</v>
      </c>
      <c r="L23" s="120">
        <v>0</v>
      </c>
      <c r="M23" s="120">
        <v>0</v>
      </c>
      <c r="N23" s="121">
        <f t="shared" si="8"/>
        <v>20.003558399999996</v>
      </c>
      <c r="O23" s="122"/>
    </row>
    <row r="24" spans="1:15" ht="15" x14ac:dyDescent="0.25">
      <c r="A24" s="116"/>
      <c r="B24" s="116" t="s">
        <v>63</v>
      </c>
      <c r="C24" s="117" t="str">
        <f>SU_02005</f>
        <v>SU_02005</v>
      </c>
      <c r="D24" s="117" t="s">
        <v>11</v>
      </c>
      <c r="E24" s="117" t="str">
        <f t="shared" si="9"/>
        <v>Lower Front A-arm</v>
      </c>
      <c r="F24" s="118" t="str">
        <f>'SU 02005'!B5</f>
        <v>Spacer 1</v>
      </c>
      <c r="G24" s="117"/>
      <c r="H24" s="119">
        <f t="shared" si="7"/>
        <v>0.90817037600000006</v>
      </c>
      <c r="I24" s="123">
        <f>SU_A0200_q*SU_02005_q</f>
        <v>4</v>
      </c>
      <c r="J24" s="120">
        <f>SU_02005_m</f>
        <v>3.0170376000000002E-2</v>
      </c>
      <c r="K24" s="120">
        <f>SU_02005_p</f>
        <v>0.878</v>
      </c>
      <c r="L24" s="120">
        <v>0</v>
      </c>
      <c r="M24" s="120">
        <v>0</v>
      </c>
      <c r="N24" s="121">
        <f t="shared" si="8"/>
        <v>3.6326815040000002</v>
      </c>
      <c r="O24" s="122"/>
    </row>
    <row r="25" spans="1:15" ht="15" x14ac:dyDescent="0.25">
      <c r="A25" s="116"/>
      <c r="B25" s="116" t="s">
        <v>63</v>
      </c>
      <c r="C25" s="117" t="str">
        <f>SU_02006</f>
        <v>SU_02006</v>
      </c>
      <c r="D25" s="117" t="s">
        <v>11</v>
      </c>
      <c r="E25" s="117" t="str">
        <f t="shared" si="9"/>
        <v>Lower Front A-arm</v>
      </c>
      <c r="F25" s="118" t="str">
        <f>'SU 02006'!B5</f>
        <v>Spacer 2</v>
      </c>
      <c r="G25" s="117"/>
      <c r="H25" s="119">
        <f t="shared" ref="H25" si="10">SUM(J25:M25)</f>
        <v>0.32421353411764708</v>
      </c>
      <c r="I25" s="123">
        <f>SU_A0200_q*SU_02006_q</f>
        <v>8</v>
      </c>
      <c r="J25" s="120">
        <f>SU_02006_m</f>
        <v>0.14197824000000003</v>
      </c>
      <c r="K25" s="120">
        <f>SU_02006_p</f>
        <v>0.18223529411764708</v>
      </c>
      <c r="L25" s="120">
        <v>0</v>
      </c>
      <c r="M25" s="120">
        <v>0</v>
      </c>
      <c r="N25" s="121">
        <f t="shared" ref="N25" si="11">H25*I25</f>
        <v>2.5937082729411767</v>
      </c>
      <c r="O25" s="122"/>
    </row>
    <row r="26" spans="1:15" ht="15" x14ac:dyDescent="0.25">
      <c r="A26" s="116"/>
      <c r="B26" s="116" t="s">
        <v>63</v>
      </c>
      <c r="C26" s="117" t="str">
        <f>SU_02007</f>
        <v>SU_02007</v>
      </c>
      <c r="D26" s="117" t="s">
        <v>11</v>
      </c>
      <c r="E26" s="117" t="str">
        <f t="shared" si="9"/>
        <v>Lower Front A-arm</v>
      </c>
      <c r="F26" s="118" t="str">
        <f>'SU 02007'!B5</f>
        <v>Outboard A-arm Insert</v>
      </c>
      <c r="G26" s="117"/>
      <c r="H26" s="119">
        <f t="shared" si="7"/>
        <v>0.47719727680000001</v>
      </c>
      <c r="I26" s="123">
        <f>SU_A0200_q*SU_02007_q</f>
        <v>4</v>
      </c>
      <c r="J26" s="120">
        <f>SU_02007_m</f>
        <v>7.7197276800000006E-2</v>
      </c>
      <c r="K26" s="120">
        <f>SU_02007_p</f>
        <v>0.4</v>
      </c>
      <c r="L26" s="120">
        <v>0</v>
      </c>
      <c r="M26" s="120">
        <v>0</v>
      </c>
      <c r="N26" s="121">
        <f t="shared" si="8"/>
        <v>1.9087891072000001</v>
      </c>
      <c r="O26" s="122"/>
    </row>
    <row r="27" spans="1:15" ht="15" x14ac:dyDescent="0.25">
      <c r="A27" s="462"/>
      <c r="B27" s="116" t="s">
        <v>63</v>
      </c>
      <c r="C27" s="117" t="str">
        <f>SU_02008</f>
        <v>SU_02008</v>
      </c>
      <c r="D27" s="117" t="s">
        <v>11</v>
      </c>
      <c r="E27" s="117" t="str">
        <f t="shared" si="9"/>
        <v>Lower Front A-arm</v>
      </c>
      <c r="F27" s="118" t="str">
        <f>'SU 02008'!B5</f>
        <v>Front up bracket</v>
      </c>
      <c r="G27" s="463"/>
      <c r="H27" s="119">
        <f t="shared" ref="H27:H30" si="12">SUM(J27:M27)</f>
        <v>1.3868720000000001</v>
      </c>
      <c r="I27" s="123">
        <f>SU_A0200_q*SU_02008_q</f>
        <v>2</v>
      </c>
      <c r="J27" s="120">
        <f>SU_02008_m</f>
        <v>0.12477600000000001</v>
      </c>
      <c r="K27" s="120">
        <f>SU_02008_p</f>
        <v>1.2620960000000001</v>
      </c>
      <c r="L27" s="120">
        <v>0</v>
      </c>
      <c r="M27" s="120">
        <v>0</v>
      </c>
      <c r="N27" s="121">
        <f t="shared" ref="N27:N30" si="13">H27*I27</f>
        <v>2.7737440000000002</v>
      </c>
      <c r="O27" s="465"/>
    </row>
    <row r="28" spans="1:15" ht="15" x14ac:dyDescent="0.25">
      <c r="A28" s="462"/>
      <c r="B28" s="116" t="s">
        <v>63</v>
      </c>
      <c r="C28" s="117" t="str">
        <f>SU_02009</f>
        <v>SU_02009</v>
      </c>
      <c r="D28" s="117" t="s">
        <v>11</v>
      </c>
      <c r="E28" s="117" t="str">
        <f t="shared" si="9"/>
        <v>Lower Front A-arm</v>
      </c>
      <c r="F28" s="464" t="str">
        <f>'SU 02009'!B5</f>
        <v>Front down bracket</v>
      </c>
      <c r="G28" s="463"/>
      <c r="H28" s="119">
        <f t="shared" si="12"/>
        <v>1.4357435000000001</v>
      </c>
      <c r="I28" s="123">
        <f>SU_A0200_q*SU_02009_q</f>
        <v>2</v>
      </c>
      <c r="J28" s="120">
        <f>SU_02009_m</f>
        <v>0.1620355</v>
      </c>
      <c r="K28" s="120">
        <f>SU_02009_p</f>
        <v>1.2737080000000001</v>
      </c>
      <c r="L28" s="120">
        <v>0</v>
      </c>
      <c r="M28" s="120">
        <v>0</v>
      </c>
      <c r="N28" s="121">
        <f t="shared" si="13"/>
        <v>2.8714870000000001</v>
      </c>
      <c r="O28" s="465"/>
    </row>
    <row r="29" spans="1:15" ht="15" x14ac:dyDescent="0.25">
      <c r="A29" s="462"/>
      <c r="B29" s="116" t="s">
        <v>63</v>
      </c>
      <c r="C29" s="117" t="str">
        <f>SU_02010</f>
        <v>SU_02010</v>
      </c>
      <c r="D29" s="117" t="s">
        <v>11</v>
      </c>
      <c r="E29" s="117" t="str">
        <f t="shared" si="9"/>
        <v>Lower Front A-arm</v>
      </c>
      <c r="F29" s="464" t="str">
        <f>'SU 02010'!B5</f>
        <v>Rear Up bracket</v>
      </c>
      <c r="G29" s="463"/>
      <c r="H29" s="119">
        <f t="shared" si="12"/>
        <v>1.3315549999999998</v>
      </c>
      <c r="I29" s="123">
        <f>SU_A0200_q*SU_02010_q</f>
        <v>2</v>
      </c>
      <c r="J29" s="120">
        <f>SU_02010_m</f>
        <v>9.5315000000000011E-2</v>
      </c>
      <c r="K29" s="120">
        <f>SU_02010_p</f>
        <v>1.2362399999999998</v>
      </c>
      <c r="L29" s="120">
        <v>0</v>
      </c>
      <c r="M29" s="120">
        <v>0</v>
      </c>
      <c r="N29" s="121">
        <f t="shared" si="13"/>
        <v>2.6631099999999996</v>
      </c>
      <c r="O29" s="465"/>
    </row>
    <row r="30" spans="1:15" ht="15" x14ac:dyDescent="0.25">
      <c r="A30" s="462"/>
      <c r="B30" s="116" t="s">
        <v>63</v>
      </c>
      <c r="C30" s="117" t="str">
        <f>SU_02011</f>
        <v>SU_02011</v>
      </c>
      <c r="D30" s="117" t="s">
        <v>11</v>
      </c>
      <c r="E30" s="117" t="str">
        <f t="shared" si="9"/>
        <v>Lower Front A-arm</v>
      </c>
      <c r="F30" s="464" t="str">
        <f>'SU 02011'!B5</f>
        <v>Rear down bracket</v>
      </c>
      <c r="G30" s="463"/>
      <c r="H30" s="119">
        <f t="shared" si="12"/>
        <v>1.41506025</v>
      </c>
      <c r="I30" s="123">
        <f>SU_A0200_q*SU_02011_q</f>
        <v>2</v>
      </c>
      <c r="J30" s="120">
        <f>SU_02011_m</f>
        <v>0.14773825000000002</v>
      </c>
      <c r="K30" s="120">
        <f>SU_02011_p</f>
        <v>1.2673220000000001</v>
      </c>
      <c r="L30" s="120">
        <v>0</v>
      </c>
      <c r="M30" s="120">
        <v>0</v>
      </c>
      <c r="N30" s="121">
        <f t="shared" si="13"/>
        <v>2.8301205</v>
      </c>
      <c r="O30" s="465"/>
    </row>
    <row r="31" spans="1:15" ht="15" x14ac:dyDescent="0.25">
      <c r="A31" s="109"/>
      <c r="B31" s="110" t="s">
        <v>63</v>
      </c>
      <c r="C31" s="111" t="str">
        <f>SU_A0300</f>
        <v>SU A0300</v>
      </c>
      <c r="D31" s="111" t="s">
        <v>11</v>
      </c>
      <c r="E31" s="111"/>
      <c r="F31" s="140" t="str">
        <f>'SU A0300'!B4</f>
        <v>Upper Back A-arm</v>
      </c>
      <c r="G31" s="111"/>
      <c r="H31" s="112">
        <f t="shared" ref="H31:H38" si="14">SUM(J31:M31)</f>
        <v>38.579540947087935</v>
      </c>
      <c r="I31" s="147">
        <f>SU_A0300_q</f>
        <v>2</v>
      </c>
      <c r="J31" s="113">
        <f>SU_A0300_m</f>
        <v>20.759999999999998</v>
      </c>
      <c r="K31" s="113">
        <f>SU_A0300_p</f>
        <v>16.033700000000003</v>
      </c>
      <c r="L31" s="113">
        <f>SU_A0300_f</f>
        <v>0.45250761375459631</v>
      </c>
      <c r="M31" s="113">
        <f>SU_A0300_t</f>
        <v>1.3333333333333333</v>
      </c>
      <c r="N31" s="114">
        <f t="shared" ref="N31:N38" si="15">H31*I31</f>
        <v>77.15908189417587</v>
      </c>
      <c r="O31" s="115"/>
    </row>
    <row r="32" spans="1:15" ht="15" x14ac:dyDescent="0.25">
      <c r="A32" s="116"/>
      <c r="B32" s="116" t="s">
        <v>63</v>
      </c>
      <c r="C32" s="117" t="str">
        <f>SU_03001</f>
        <v>SU 03001</v>
      </c>
      <c r="D32" s="117" t="s">
        <v>11</v>
      </c>
      <c r="E32" s="117" t="str">
        <f>$F$31</f>
        <v>Upper Back A-arm</v>
      </c>
      <c r="F32" s="118" t="str">
        <f>'SU 03001'!$B$5</f>
        <v>Upper Back Bearing Support</v>
      </c>
      <c r="G32" s="117"/>
      <c r="H32" s="119">
        <f t="shared" si="14"/>
        <v>16.4854905344</v>
      </c>
      <c r="I32" s="123">
        <f>SU_A0300_q*SU_03001_q</f>
        <v>2</v>
      </c>
      <c r="J32" s="120">
        <f>SU_03001_m</f>
        <v>2.4914905344</v>
      </c>
      <c r="K32" s="120">
        <f>SU_03001_p</f>
        <v>13.994000000000002</v>
      </c>
      <c r="L32" s="120">
        <v>0</v>
      </c>
      <c r="M32" s="120">
        <v>0</v>
      </c>
      <c r="N32" s="121">
        <f t="shared" si="15"/>
        <v>32.9709810688</v>
      </c>
      <c r="O32" s="122"/>
    </row>
    <row r="33" spans="1:15" ht="15" x14ac:dyDescent="0.25">
      <c r="A33" s="116"/>
      <c r="B33" s="116" t="s">
        <v>63</v>
      </c>
      <c r="C33" s="117" t="str">
        <f>SU_03002</f>
        <v>SU 03002</v>
      </c>
      <c r="D33" s="117" t="s">
        <v>11</v>
      </c>
      <c r="E33" s="117" t="str">
        <f t="shared" ref="E33:E42" si="16">$F$31</f>
        <v>Upper Back A-arm</v>
      </c>
      <c r="F33" s="118" t="str">
        <f>'SU 03002'!$B$5</f>
        <v>Inner Bearing Support</v>
      </c>
      <c r="G33" s="117"/>
      <c r="H33" s="119">
        <f t="shared" si="14"/>
        <v>1.8728805440000003</v>
      </c>
      <c r="I33" s="123">
        <f>SU_A0300_q*SU_03002_q</f>
        <v>4</v>
      </c>
      <c r="J33" s="120">
        <f>SU_03002_m</f>
        <v>0.85838054400000008</v>
      </c>
      <c r="K33" s="120">
        <f>SU_03002_p</f>
        <v>1.0145000000000002</v>
      </c>
      <c r="L33" s="120">
        <v>0</v>
      </c>
      <c r="M33" s="120">
        <v>0</v>
      </c>
      <c r="N33" s="121">
        <f t="shared" si="15"/>
        <v>7.491522176000001</v>
      </c>
      <c r="O33" s="122"/>
    </row>
    <row r="34" spans="1:15" ht="15" x14ac:dyDescent="0.25">
      <c r="A34" s="116"/>
      <c r="B34" s="116" t="s">
        <v>63</v>
      </c>
      <c r="C34" s="117" t="str">
        <f>SU_03003</f>
        <v>SU 03003</v>
      </c>
      <c r="D34" s="117" t="s">
        <v>11</v>
      </c>
      <c r="E34" s="117" t="str">
        <f t="shared" si="16"/>
        <v>Upper Back A-arm</v>
      </c>
      <c r="F34" s="118" t="str">
        <f>'SU 03003'!$B$5</f>
        <v>Upper Back A-arm tube (Front)  Carbon Fiber Tube</v>
      </c>
      <c r="G34" s="117"/>
      <c r="H34" s="119">
        <f t="shared" si="14"/>
        <v>10.876934879999999</v>
      </c>
      <c r="I34" s="123">
        <f>SU_A0300_q*SU_03003_q</f>
        <v>2</v>
      </c>
      <c r="J34" s="120">
        <f>SU_03003_m</f>
        <v>9.6683865599999983</v>
      </c>
      <c r="K34" s="120">
        <f>SU_03003_p</f>
        <v>1.2085483199999998</v>
      </c>
      <c r="L34" s="120">
        <v>0</v>
      </c>
      <c r="M34" s="120">
        <v>0</v>
      </c>
      <c r="N34" s="121">
        <f t="shared" si="15"/>
        <v>21.753869759999997</v>
      </c>
      <c r="O34" s="122"/>
    </row>
    <row r="35" spans="1:15" ht="15" x14ac:dyDescent="0.25">
      <c r="A35" s="116"/>
      <c r="B35" s="116" t="s">
        <v>63</v>
      </c>
      <c r="C35" s="117" t="str">
        <f>SU_03004</f>
        <v>SU 03004</v>
      </c>
      <c r="D35" s="117" t="s">
        <v>11</v>
      </c>
      <c r="E35" s="117" t="str">
        <f t="shared" si="16"/>
        <v>Upper Back A-arm</v>
      </c>
      <c r="F35" s="118" t="str">
        <f>'SU 03004'!$B$5</f>
        <v>Upper Back A-arm tube (Back)  Carbon Fiber Tube</v>
      </c>
      <c r="G35" s="117"/>
      <c r="H35" s="119">
        <f t="shared" si="14"/>
        <v>4.3445228399999989</v>
      </c>
      <c r="I35" s="123">
        <f>SU_A0300_q*SU_03004_q</f>
        <v>2</v>
      </c>
      <c r="J35" s="120">
        <f>SU_03004_m</f>
        <v>3.8617980799999994</v>
      </c>
      <c r="K35" s="120">
        <f>SU_03004_p</f>
        <v>0.48272475999999992</v>
      </c>
      <c r="L35" s="120">
        <v>0</v>
      </c>
      <c r="M35" s="120">
        <v>0</v>
      </c>
      <c r="N35" s="121">
        <f t="shared" si="15"/>
        <v>8.6890456799999978</v>
      </c>
      <c r="O35" s="122"/>
    </row>
    <row r="36" spans="1:15" ht="15" x14ac:dyDescent="0.25">
      <c r="A36" s="116"/>
      <c r="B36" s="116" t="s">
        <v>63</v>
      </c>
      <c r="C36" s="117" t="str">
        <f>SU_03005</f>
        <v>SU 03005</v>
      </c>
      <c r="D36" s="117" t="s">
        <v>11</v>
      </c>
      <c r="E36" s="117" t="str">
        <f t="shared" si="16"/>
        <v>Upper Back A-arm</v>
      </c>
      <c r="F36" s="118" t="str">
        <f>'SU 03005'!$B$5</f>
        <v>Spacer 1</v>
      </c>
      <c r="G36" s="117"/>
      <c r="H36" s="119">
        <f t="shared" si="14"/>
        <v>0.7197472800000001</v>
      </c>
      <c r="I36" s="123">
        <f>SU_A0300_q*SU_03005_q</f>
        <v>4</v>
      </c>
      <c r="J36" s="120">
        <f>SU_03005_m</f>
        <v>1.7747280000000004E-2</v>
      </c>
      <c r="K36" s="120">
        <f>SU_03005_p</f>
        <v>0.70200000000000007</v>
      </c>
      <c r="L36" s="120">
        <v>0</v>
      </c>
      <c r="M36" s="120">
        <v>0</v>
      </c>
      <c r="N36" s="121">
        <f t="shared" si="15"/>
        <v>2.8789891200000004</v>
      </c>
      <c r="O36" s="122"/>
    </row>
    <row r="37" spans="1:15" ht="15" x14ac:dyDescent="0.25">
      <c r="A37" s="116"/>
      <c r="B37" s="116" t="s">
        <v>63</v>
      </c>
      <c r="C37" s="117" t="str">
        <f>SU_03006</f>
        <v>SU 03006</v>
      </c>
      <c r="D37" s="117" t="s">
        <v>11</v>
      </c>
      <c r="E37" s="117" t="str">
        <f t="shared" si="16"/>
        <v>Upper Back A-arm</v>
      </c>
      <c r="F37" s="118" t="str">
        <f>'SU 03006'!$B$5</f>
        <v>Spacer 2</v>
      </c>
      <c r="G37" s="117"/>
      <c r="H37" s="119">
        <f t="shared" si="14"/>
        <v>0.32421353411764708</v>
      </c>
      <c r="I37" s="123">
        <f>SU_A0300_q*SU_03006_q</f>
        <v>8</v>
      </c>
      <c r="J37" s="120">
        <f>SU_03006_m</f>
        <v>0.14197824000000003</v>
      </c>
      <c r="K37" s="120">
        <f>SU_03006_p</f>
        <v>0.18223529411764708</v>
      </c>
      <c r="L37" s="120">
        <v>0</v>
      </c>
      <c r="M37" s="120">
        <v>0</v>
      </c>
      <c r="N37" s="121">
        <f t="shared" si="15"/>
        <v>2.5937082729411767</v>
      </c>
      <c r="O37" s="122"/>
    </row>
    <row r="38" spans="1:15" ht="15" x14ac:dyDescent="0.25">
      <c r="A38" s="116"/>
      <c r="B38" s="116" t="s">
        <v>63</v>
      </c>
      <c r="C38" s="117" t="str">
        <f>SU_03007</f>
        <v>SU 03007</v>
      </c>
      <c r="D38" s="117" t="s">
        <v>11</v>
      </c>
      <c r="E38" s="117" t="str">
        <f t="shared" si="16"/>
        <v>Upper Back A-arm</v>
      </c>
      <c r="F38" s="118" t="str">
        <f>'SU 03007'!$B$5</f>
        <v>Outboard A-arm Insert</v>
      </c>
      <c r="G38" s="117"/>
      <c r="H38" s="119">
        <f t="shared" si="14"/>
        <v>0.47719727680000001</v>
      </c>
      <c r="I38" s="123">
        <f>SU_A0300_q*SU_03007_q</f>
        <v>4</v>
      </c>
      <c r="J38" s="120">
        <f>SU_03007_m</f>
        <v>7.7197276800000006E-2</v>
      </c>
      <c r="K38" s="120">
        <f>SU_03007_p</f>
        <v>0.4</v>
      </c>
      <c r="L38" s="120">
        <v>0</v>
      </c>
      <c r="M38" s="120">
        <v>0</v>
      </c>
      <c r="N38" s="121">
        <f t="shared" si="15"/>
        <v>1.9087891072000001</v>
      </c>
      <c r="O38" s="122"/>
    </row>
    <row r="39" spans="1:15" ht="15" x14ac:dyDescent="0.25">
      <c r="A39" s="462"/>
      <c r="B39" s="116" t="s">
        <v>63</v>
      </c>
      <c r="C39" s="117" t="str">
        <f>SU_03008</f>
        <v>SU 03008</v>
      </c>
      <c r="D39" s="117" t="s">
        <v>11</v>
      </c>
      <c r="E39" s="117" t="str">
        <f t="shared" si="16"/>
        <v>Upper Back A-arm</v>
      </c>
      <c r="F39" s="464" t="str">
        <f>'SU 03008'!$B$5</f>
        <v>Front up bracket</v>
      </c>
      <c r="G39" s="463"/>
      <c r="H39" s="119">
        <f t="shared" ref="H39:H50" si="17">SUM(J39:M39)</f>
        <v>1.4969516249999999</v>
      </c>
      <c r="I39" s="123">
        <f>SU_A0300_q*SU_03008_q</f>
        <v>2</v>
      </c>
      <c r="J39" s="120">
        <f>SU_03008_m</f>
        <v>0.19777862500000001</v>
      </c>
      <c r="K39" s="120">
        <f>SU_03008_p</f>
        <v>1.2991729999999999</v>
      </c>
      <c r="L39" s="120">
        <v>0</v>
      </c>
      <c r="M39" s="120">
        <v>0</v>
      </c>
      <c r="N39" s="121">
        <f t="shared" ref="N39:N50" si="18">H39*I39</f>
        <v>2.9939032499999998</v>
      </c>
      <c r="O39" s="465"/>
    </row>
    <row r="40" spans="1:15" ht="15" x14ac:dyDescent="0.25">
      <c r="A40" s="462"/>
      <c r="B40" s="116" t="s">
        <v>63</v>
      </c>
      <c r="C40" s="117" t="str">
        <f>SU_03009</f>
        <v>SU 03009</v>
      </c>
      <c r="D40" s="117" t="s">
        <v>11</v>
      </c>
      <c r="E40" s="117" t="str">
        <f t="shared" si="16"/>
        <v>Upper Back A-arm</v>
      </c>
      <c r="F40" s="464" t="str">
        <f>'SU 03009'!$B$5</f>
        <v>Front down bracket</v>
      </c>
      <c r="G40" s="463"/>
      <c r="H40" s="119">
        <f t="shared" si="17"/>
        <v>1.49211</v>
      </c>
      <c r="I40" s="123">
        <f>SU_A0300_q*SU_03009_q</f>
        <v>2</v>
      </c>
      <c r="J40" s="120">
        <f>SU_03009_m</f>
        <v>0.19063000000000002</v>
      </c>
      <c r="K40" s="120">
        <f>SU_03009_p</f>
        <v>1.30148</v>
      </c>
      <c r="L40" s="120">
        <v>0</v>
      </c>
      <c r="M40" s="120">
        <v>0</v>
      </c>
      <c r="N40" s="121">
        <f t="shared" si="18"/>
        <v>2.9842200000000001</v>
      </c>
      <c r="O40" s="465"/>
    </row>
    <row r="41" spans="1:15" ht="15" x14ac:dyDescent="0.25">
      <c r="A41" s="462"/>
      <c r="B41" s="116" t="s">
        <v>63</v>
      </c>
      <c r="C41" s="117" t="str">
        <f>SU_03010</f>
        <v>SU 03010</v>
      </c>
      <c r="D41" s="117" t="s">
        <v>11</v>
      </c>
      <c r="E41" s="117" t="str">
        <f t="shared" si="16"/>
        <v>Upper Back A-arm</v>
      </c>
      <c r="F41" s="464" t="str">
        <f>'SU 03010'!$B$5</f>
        <v>Rear up bracket</v>
      </c>
      <c r="G41" s="463"/>
      <c r="H41" s="119">
        <f t="shared" si="17"/>
        <v>1.2680301249999999</v>
      </c>
      <c r="I41" s="123">
        <f>SU_A0300_q*SU_03010_q</f>
        <v>2</v>
      </c>
      <c r="J41" s="120">
        <f>SU_03010_m</f>
        <v>7.3869125000000008E-2</v>
      </c>
      <c r="K41" s="120">
        <f>SU_03010_p</f>
        <v>1.1941609999999998</v>
      </c>
      <c r="L41" s="120">
        <v>0</v>
      </c>
      <c r="M41" s="120">
        <v>0</v>
      </c>
      <c r="N41" s="121">
        <f t="shared" si="18"/>
        <v>2.5360602499999998</v>
      </c>
      <c r="O41" s="465"/>
    </row>
    <row r="42" spans="1:15" ht="15" x14ac:dyDescent="0.25">
      <c r="A42" s="462"/>
      <c r="B42" s="116" t="s">
        <v>63</v>
      </c>
      <c r="C42" s="117" t="str">
        <f>SU_03011</f>
        <v>SU 03011</v>
      </c>
      <c r="D42" s="117" t="s">
        <v>11</v>
      </c>
      <c r="E42" s="117" t="str">
        <f t="shared" si="16"/>
        <v>Upper Back A-arm</v>
      </c>
      <c r="F42" s="464" t="str">
        <f>'SU 03011'!$B$5</f>
        <v>Rear down bracket</v>
      </c>
      <c r="G42" s="463"/>
      <c r="H42" s="119">
        <f t="shared" si="17"/>
        <v>1.3787631249999999</v>
      </c>
      <c r="I42" s="123">
        <f>SU_A0300_q*SU_03011_q</f>
        <v>2</v>
      </c>
      <c r="J42" s="120">
        <f>SU_03011_m</f>
        <v>0.13105812499999997</v>
      </c>
      <c r="K42" s="120">
        <f>SU_03011_p</f>
        <v>1.2477049999999998</v>
      </c>
      <c r="L42" s="120">
        <v>0</v>
      </c>
      <c r="M42" s="120">
        <v>0</v>
      </c>
      <c r="N42" s="121">
        <f t="shared" si="18"/>
        <v>2.7575262499999997</v>
      </c>
      <c r="O42" s="465"/>
    </row>
    <row r="43" spans="1:15" ht="15" x14ac:dyDescent="0.25">
      <c r="A43" s="109"/>
      <c r="B43" s="110" t="s">
        <v>63</v>
      </c>
      <c r="C43" s="111" t="str">
        <f>SU_A0400</f>
        <v>SU A0400</v>
      </c>
      <c r="D43" s="111" t="s">
        <v>11</v>
      </c>
      <c r="E43" s="111"/>
      <c r="F43" s="140" t="str">
        <f>'SU A0400'!B4</f>
        <v>Lower Back A-arm</v>
      </c>
      <c r="G43" s="111"/>
      <c r="H43" s="112">
        <f t="shared" si="17"/>
        <v>38.579540947087935</v>
      </c>
      <c r="I43" s="147">
        <f>SU_A0400_q</f>
        <v>2</v>
      </c>
      <c r="J43" s="113">
        <f>SU_A0400_m</f>
        <v>20.759999999999998</v>
      </c>
      <c r="K43" s="113">
        <f>SU_A0400_p</f>
        <v>16.033700000000003</v>
      </c>
      <c r="L43" s="113">
        <f>SU_A0400_f</f>
        <v>0.45250761375459631</v>
      </c>
      <c r="M43" s="113">
        <f>SU_A0400_t</f>
        <v>1.3333333333333333</v>
      </c>
      <c r="N43" s="114">
        <f t="shared" si="18"/>
        <v>77.15908189417587</v>
      </c>
      <c r="O43" s="115"/>
    </row>
    <row r="44" spans="1:15" ht="15" x14ac:dyDescent="0.25">
      <c r="A44" s="116"/>
      <c r="B44" s="116" t="s">
        <v>63</v>
      </c>
      <c r="C44" s="117" t="str">
        <f>SU_04001</f>
        <v>SU 04001</v>
      </c>
      <c r="D44" s="117" t="s">
        <v>11</v>
      </c>
      <c r="E44" s="117" t="str">
        <f>$F$43</f>
        <v>Lower Back A-arm</v>
      </c>
      <c r="F44" s="118" t="str">
        <f>'SU 04001'!$B$5</f>
        <v>Lower Back Bearing Support</v>
      </c>
      <c r="G44" s="117"/>
      <c r="H44" s="119">
        <f t="shared" si="17"/>
        <v>8.9540000000000006</v>
      </c>
      <c r="I44" s="123">
        <f>SU_A0400_q*SU_04001_q</f>
        <v>2</v>
      </c>
      <c r="J44" s="120">
        <f>SU_04001_m</f>
        <v>4.2</v>
      </c>
      <c r="K44" s="120">
        <f>SU_04001_p</f>
        <v>4.7540000000000004</v>
      </c>
      <c r="L44" s="120">
        <v>0</v>
      </c>
      <c r="M44" s="120">
        <v>0</v>
      </c>
      <c r="N44" s="121">
        <f t="shared" si="18"/>
        <v>17.908000000000001</v>
      </c>
      <c r="O44" s="122"/>
    </row>
    <row r="45" spans="1:15" ht="15" x14ac:dyDescent="0.25">
      <c r="A45" s="116"/>
      <c r="B45" s="116" t="s">
        <v>63</v>
      </c>
      <c r="C45" s="117" t="str">
        <f>SU_04002</f>
        <v>SU_04002</v>
      </c>
      <c r="D45" s="117" t="s">
        <v>11</v>
      </c>
      <c r="E45" s="117" t="str">
        <f t="shared" ref="E45:E54" si="19">$F$43</f>
        <v>Lower Back A-arm</v>
      </c>
      <c r="F45" s="118" t="str">
        <f>'SU 04002'!$B$5</f>
        <v>Inner Bearing Support</v>
      </c>
      <c r="G45" s="117"/>
      <c r="H45" s="119">
        <f t="shared" si="17"/>
        <v>1.8728805440000003</v>
      </c>
      <c r="I45" s="123">
        <f>SU_A0400_q*SU_04002_q</f>
        <v>4</v>
      </c>
      <c r="J45" s="120">
        <f>SU_04002_m</f>
        <v>0.85838054400000008</v>
      </c>
      <c r="K45" s="120">
        <f>SU_04002_p</f>
        <v>1.0145000000000002</v>
      </c>
      <c r="L45" s="120">
        <v>0</v>
      </c>
      <c r="M45" s="120">
        <v>0</v>
      </c>
      <c r="N45" s="121">
        <f t="shared" si="18"/>
        <v>7.491522176000001</v>
      </c>
      <c r="O45" s="122"/>
    </row>
    <row r="46" spans="1:15" ht="15" x14ac:dyDescent="0.25">
      <c r="A46" s="116"/>
      <c r="B46" s="116" t="s">
        <v>63</v>
      </c>
      <c r="C46" s="117" t="str">
        <f>SU_04003</f>
        <v>SU_04003</v>
      </c>
      <c r="D46" s="117" t="s">
        <v>11</v>
      </c>
      <c r="E46" s="117" t="str">
        <f t="shared" si="19"/>
        <v>Lower Back A-arm</v>
      </c>
      <c r="F46" s="118" t="str">
        <f>'SU 04003'!$B$5</f>
        <v>Lower Back A-arm tube (Front)  Carbon Fiber Tube</v>
      </c>
      <c r="G46" s="117"/>
      <c r="H46" s="119">
        <f t="shared" si="17"/>
        <v>12.033390599999997</v>
      </c>
      <c r="I46" s="123">
        <f>SU_A0400_q*SU_04003_q</f>
        <v>2</v>
      </c>
      <c r="J46" s="120">
        <f>SU_04003_m</f>
        <v>10.696347199999998</v>
      </c>
      <c r="K46" s="120">
        <f>SU_04003_p</f>
        <v>1.3370433999999998</v>
      </c>
      <c r="L46" s="120">
        <v>0</v>
      </c>
      <c r="M46" s="120">
        <v>0</v>
      </c>
      <c r="N46" s="121">
        <f t="shared" si="18"/>
        <v>24.066781199999994</v>
      </c>
      <c r="O46" s="122"/>
    </row>
    <row r="47" spans="1:15" ht="15" x14ac:dyDescent="0.25">
      <c r="A47" s="116"/>
      <c r="B47" s="116" t="s">
        <v>63</v>
      </c>
      <c r="C47" s="117" t="str">
        <f>SU_04004</f>
        <v>SU_04004</v>
      </c>
      <c r="D47" s="117" t="s">
        <v>11</v>
      </c>
      <c r="E47" s="117" t="str">
        <f t="shared" si="19"/>
        <v>Lower Back A-arm</v>
      </c>
      <c r="F47" s="118" t="str">
        <f>'SU 04004'!$B$5</f>
        <v>Lower Back A-arm tube (Back)  Carbon Fiber Tube</v>
      </c>
      <c r="G47" s="117"/>
      <c r="H47" s="119">
        <f t="shared" si="17"/>
        <v>7.4075677199999985</v>
      </c>
      <c r="I47" s="123">
        <f>SU_A0400_q*SU_04004_q</f>
        <v>2</v>
      </c>
      <c r="J47" s="120">
        <f>SU_04004_m</f>
        <v>6.5845046399999987</v>
      </c>
      <c r="K47" s="120">
        <f>SU_04004_p</f>
        <v>0.82306307999999995</v>
      </c>
      <c r="L47" s="120">
        <v>0</v>
      </c>
      <c r="M47" s="120">
        <v>0</v>
      </c>
      <c r="N47" s="121">
        <f t="shared" si="18"/>
        <v>14.815135439999997</v>
      </c>
      <c r="O47" s="122"/>
    </row>
    <row r="48" spans="1:15" ht="15" x14ac:dyDescent="0.25">
      <c r="A48" s="116"/>
      <c r="B48" s="116" t="s">
        <v>63</v>
      </c>
      <c r="C48" s="117" t="str">
        <f>SU_04005</f>
        <v>SU_04005</v>
      </c>
      <c r="D48" s="117" t="s">
        <v>11</v>
      </c>
      <c r="E48" s="117" t="str">
        <f t="shared" si="19"/>
        <v>Lower Back A-arm</v>
      </c>
      <c r="F48" s="118" t="str">
        <f>'SU 04005'!$B$5</f>
        <v>Spacer 1</v>
      </c>
      <c r="G48" s="117"/>
      <c r="H48" s="119">
        <f t="shared" si="17"/>
        <v>1.6276857568</v>
      </c>
      <c r="I48" s="123">
        <f>SU_A0400_q*SU_04005_q</f>
        <v>4</v>
      </c>
      <c r="J48" s="120">
        <f>SU_04005_m</f>
        <v>2.7685756800000003E-2</v>
      </c>
      <c r="K48" s="120">
        <f>SU_04005_p</f>
        <v>1.6</v>
      </c>
      <c r="L48" s="120">
        <v>0</v>
      </c>
      <c r="M48" s="120">
        <v>0</v>
      </c>
      <c r="N48" s="121">
        <f t="shared" si="18"/>
        <v>6.5107430272000002</v>
      </c>
      <c r="O48" s="122"/>
    </row>
    <row r="49" spans="1:15" ht="15" x14ac:dyDescent="0.25">
      <c r="A49" s="116"/>
      <c r="B49" s="116" t="s">
        <v>63</v>
      </c>
      <c r="C49" s="117" t="str">
        <f>SU_04006</f>
        <v>SU_04006</v>
      </c>
      <c r="D49" s="117" t="s">
        <v>11</v>
      </c>
      <c r="E49" s="117" t="str">
        <f t="shared" si="19"/>
        <v>Lower Back A-arm</v>
      </c>
      <c r="F49" s="118" t="str">
        <f>'SU 04006'!$B$5</f>
        <v>Spacer 2</v>
      </c>
      <c r="G49" s="117"/>
      <c r="H49" s="119">
        <f t="shared" si="17"/>
        <v>0.80517824000000005</v>
      </c>
      <c r="I49" s="123">
        <f>SU_A0400_q*SU_04006_q</f>
        <v>8</v>
      </c>
      <c r="J49" s="120">
        <f>SU_04006_m</f>
        <v>0.14197824000000003</v>
      </c>
      <c r="K49" s="120">
        <f>SU_04006_p</f>
        <v>0.66320000000000001</v>
      </c>
      <c r="L49" s="120">
        <v>0</v>
      </c>
      <c r="M49" s="120">
        <v>0</v>
      </c>
      <c r="N49" s="121">
        <f t="shared" si="18"/>
        <v>6.4414259200000004</v>
      </c>
      <c r="O49" s="122"/>
    </row>
    <row r="50" spans="1:15" ht="15" x14ac:dyDescent="0.25">
      <c r="A50" s="116"/>
      <c r="B50" s="116" t="s">
        <v>63</v>
      </c>
      <c r="C50" s="117" t="str">
        <f>SU_04007</f>
        <v>SU_04007</v>
      </c>
      <c r="D50" s="117" t="s">
        <v>11</v>
      </c>
      <c r="E50" s="117" t="str">
        <f t="shared" si="19"/>
        <v>Lower Back A-arm</v>
      </c>
      <c r="F50" s="118" t="str">
        <f>'SU 04007'!$B$5</f>
        <v>Outboard A-arm Insert</v>
      </c>
      <c r="G50" s="117"/>
      <c r="H50" s="119">
        <f t="shared" si="17"/>
        <v>0.47719727680000001</v>
      </c>
      <c r="I50" s="123">
        <f>SU_A0400_q*SU_04007_q</f>
        <v>4</v>
      </c>
      <c r="J50" s="120">
        <f>SU_04007_m</f>
        <v>7.7197276800000006E-2</v>
      </c>
      <c r="K50" s="120">
        <f>SU_04007_p</f>
        <v>0.4</v>
      </c>
      <c r="L50" s="120">
        <v>0</v>
      </c>
      <c r="M50" s="120">
        <v>0</v>
      </c>
      <c r="N50" s="121">
        <f t="shared" si="18"/>
        <v>1.9087891072000001</v>
      </c>
      <c r="O50" s="122"/>
    </row>
    <row r="51" spans="1:15" ht="15" x14ac:dyDescent="0.25">
      <c r="A51" s="462"/>
      <c r="B51" s="116" t="s">
        <v>63</v>
      </c>
      <c r="C51" s="117" t="str">
        <f>SU_04008</f>
        <v>SU 04008</v>
      </c>
      <c r="D51" s="117" t="s">
        <v>11</v>
      </c>
      <c r="E51" s="117" t="str">
        <f t="shared" si="19"/>
        <v>Lower Back A-arm</v>
      </c>
      <c r="F51" s="118" t="str">
        <f>'SU 04008'!$B$5</f>
        <v>Front up bracket</v>
      </c>
      <c r="G51" s="463"/>
      <c r="H51" s="119">
        <f t="shared" ref="H51:H56" si="20">SUM(J51:M51)</f>
        <v>1.3905750000000001</v>
      </c>
      <c r="I51" s="123">
        <f>SU_A0400_q*SU_04008_q</f>
        <v>2</v>
      </c>
      <c r="J51" s="120">
        <f>SU_04008_m</f>
        <v>0.12997500000000001</v>
      </c>
      <c r="K51" s="120">
        <f>SU_04008_p</f>
        <v>1.2606000000000002</v>
      </c>
      <c r="L51" s="120">
        <v>0</v>
      </c>
      <c r="M51" s="120">
        <v>0</v>
      </c>
      <c r="N51" s="121">
        <f t="shared" ref="N51:N67" si="21">H51*I51</f>
        <v>2.7811500000000002</v>
      </c>
      <c r="O51" s="465"/>
    </row>
    <row r="52" spans="1:15" ht="15" x14ac:dyDescent="0.25">
      <c r="A52" s="462"/>
      <c r="B52" s="116" t="s">
        <v>63</v>
      </c>
      <c r="C52" s="117" t="str">
        <f>SU_04009</f>
        <v>SU 04009</v>
      </c>
      <c r="D52" s="117" t="s">
        <v>11</v>
      </c>
      <c r="E52" s="117" t="str">
        <f t="shared" si="19"/>
        <v>Lower Back A-arm</v>
      </c>
      <c r="F52" s="464" t="str">
        <f>'SU 04009'!$B$5</f>
        <v>Front down bracket</v>
      </c>
      <c r="G52" s="463"/>
      <c r="H52" s="119">
        <f t="shared" si="20"/>
        <v>1.3814265000000003</v>
      </c>
      <c r="I52" s="123">
        <f>SU_A0400_q*SU_04009_q</f>
        <v>2</v>
      </c>
      <c r="J52" s="120">
        <f>SU_04009_m</f>
        <v>0.13257449999999998</v>
      </c>
      <c r="K52" s="120">
        <f>SU_04009_p</f>
        <v>1.2488520000000003</v>
      </c>
      <c r="L52" s="120">
        <v>0</v>
      </c>
      <c r="M52" s="120">
        <v>0</v>
      </c>
      <c r="N52" s="121">
        <f t="shared" si="21"/>
        <v>2.7628530000000007</v>
      </c>
      <c r="O52" s="465"/>
    </row>
    <row r="53" spans="1:15" ht="15" x14ac:dyDescent="0.25">
      <c r="A53" s="462"/>
      <c r="B53" s="116" t="s">
        <v>63</v>
      </c>
      <c r="C53" s="117" t="str">
        <f>SU_04010</f>
        <v>SU 04010</v>
      </c>
      <c r="D53" s="117" t="s">
        <v>11</v>
      </c>
      <c r="E53" s="117" t="str">
        <f t="shared" si="19"/>
        <v>Lower Back A-arm</v>
      </c>
      <c r="F53" s="464" t="str">
        <f>'SU 04010'!$B$5</f>
        <v>Rear up bracket</v>
      </c>
      <c r="G53" s="463"/>
      <c r="H53" s="119">
        <f t="shared" si="20"/>
        <v>1.8130709999999999</v>
      </c>
      <c r="I53" s="123">
        <f>SU_A0400_q*SU_04010_q</f>
        <v>2</v>
      </c>
      <c r="J53" s="120">
        <f>SU_04010_m</f>
        <v>0.29634299999999991</v>
      </c>
      <c r="K53" s="120">
        <f>SU_04010_p</f>
        <v>1.5167280000000001</v>
      </c>
      <c r="L53" s="120">
        <v>0</v>
      </c>
      <c r="M53" s="120">
        <v>0</v>
      </c>
      <c r="N53" s="121">
        <f t="shared" si="21"/>
        <v>3.6261419999999998</v>
      </c>
      <c r="O53" s="465"/>
    </row>
    <row r="54" spans="1:15" ht="15" x14ac:dyDescent="0.25">
      <c r="A54" s="462"/>
      <c r="B54" s="116" t="s">
        <v>63</v>
      </c>
      <c r="C54" s="117" t="str">
        <f>SU_04011</f>
        <v>SU 04011</v>
      </c>
      <c r="D54" s="117" t="s">
        <v>11</v>
      </c>
      <c r="E54" s="117" t="str">
        <f t="shared" si="19"/>
        <v>Lower Back A-arm</v>
      </c>
      <c r="F54" s="464" t="str">
        <f>'SU 04011'!$B$5</f>
        <v>Rear down bracket</v>
      </c>
      <c r="G54" s="463"/>
      <c r="H54" s="119">
        <f t="shared" si="20"/>
        <v>1.9015070000000001</v>
      </c>
      <c r="I54" s="123">
        <f>SU_A0400_q*SU_04011_q</f>
        <v>2</v>
      </c>
      <c r="J54" s="120">
        <f>SU_04011_m</f>
        <v>0.35873100000000002</v>
      </c>
      <c r="K54" s="120">
        <f>SU_04011_p</f>
        <v>1.5427759999999999</v>
      </c>
      <c r="L54" s="120">
        <v>0</v>
      </c>
      <c r="M54" s="120">
        <v>0</v>
      </c>
      <c r="N54" s="121">
        <f t="shared" si="21"/>
        <v>3.8030140000000001</v>
      </c>
      <c r="O54" s="465"/>
    </row>
    <row r="55" spans="1:15" ht="15" x14ac:dyDescent="0.25">
      <c r="A55" s="109"/>
      <c r="B55" s="109" t="s">
        <v>63</v>
      </c>
      <c r="C55" s="111" t="s">
        <v>270</v>
      </c>
      <c r="D55" s="111" t="s">
        <v>11</v>
      </c>
      <c r="E55" s="111"/>
      <c r="F55" s="262" t="str">
        <f>'SU A0500'!B4</f>
        <v>Front suspension</v>
      </c>
      <c r="G55" s="111"/>
      <c r="H55" s="112">
        <f t="shared" si="20"/>
        <v>332.69722874847344</v>
      </c>
      <c r="I55" s="674">
        <f>SU_A0500_q</f>
        <v>2</v>
      </c>
      <c r="J55" s="113">
        <f>SU_A0500_m</f>
        <v>330.04</v>
      </c>
      <c r="K55" s="113">
        <f>SU_A0500_p</f>
        <v>2.12</v>
      </c>
      <c r="L55" s="113">
        <f>SU_A0500_f</f>
        <v>0.20389541514008255</v>
      </c>
      <c r="M55" s="113">
        <f>SU_A0500_t</f>
        <v>0.33333333333333331</v>
      </c>
      <c r="N55" s="114">
        <f t="shared" si="21"/>
        <v>665.39445749694687</v>
      </c>
      <c r="O55" s="115"/>
    </row>
    <row r="56" spans="1:15" ht="15" x14ac:dyDescent="0.25">
      <c r="A56" s="116"/>
      <c r="B56" s="116" t="s">
        <v>63</v>
      </c>
      <c r="C56" s="117" t="str">
        <f>SU_05001</f>
        <v>SU 05001</v>
      </c>
      <c r="D56" s="117" t="s">
        <v>11</v>
      </c>
      <c r="E56" s="117" t="str">
        <f>F55</f>
        <v>Front suspension</v>
      </c>
      <c r="F56" s="118" t="str">
        <f>'SU 05001'!B5</f>
        <v>Shock Front Bracket</v>
      </c>
      <c r="G56" s="117"/>
      <c r="H56" s="119">
        <f t="shared" si="20"/>
        <v>5.9234014172552163</v>
      </c>
      <c r="I56" s="675">
        <f>SU_05001_q*SU_A0500_q</f>
        <v>2</v>
      </c>
      <c r="J56" s="120">
        <f>SU_05001_m</f>
        <v>0.38660141725521602</v>
      </c>
      <c r="K56" s="120">
        <f>SU_05001_p</f>
        <v>5.5368000000000004</v>
      </c>
      <c r="L56" s="120">
        <v>0</v>
      </c>
      <c r="M56" s="120">
        <v>0</v>
      </c>
      <c r="N56" s="121">
        <f t="shared" si="21"/>
        <v>11.846802834510433</v>
      </c>
      <c r="O56" s="122"/>
    </row>
    <row r="57" spans="1:15" ht="15" x14ac:dyDescent="0.25">
      <c r="A57" s="688"/>
      <c r="B57" s="109" t="s">
        <v>63</v>
      </c>
      <c r="C57" s="690" t="str">
        <f>SU_A0600</f>
        <v>SU A0600</v>
      </c>
      <c r="D57" s="690" t="s">
        <v>11</v>
      </c>
      <c r="E57" s="690"/>
      <c r="F57" s="691" t="str">
        <f>'SU A0600'!B4</f>
        <v>Front Bell Crank</v>
      </c>
      <c r="G57" s="690"/>
      <c r="H57" s="692">
        <f t="shared" ref="H57:H61" si="22">SUM(J57:M57)</f>
        <v>2.2678904435983189</v>
      </c>
      <c r="I57" s="693">
        <f>SU_A0600_q</f>
        <v>2</v>
      </c>
      <c r="J57" s="694">
        <f>SU_A0600_m</f>
        <v>0.09</v>
      </c>
      <c r="K57" s="694">
        <f>SU_A0600_p</f>
        <v>1.5945</v>
      </c>
      <c r="L57" s="694">
        <f>SU_A0600_f</f>
        <v>0.25005711026498539</v>
      </c>
      <c r="M57" s="694">
        <f>SU_A0600_t</f>
        <v>0.33333333333333331</v>
      </c>
      <c r="N57" s="695">
        <f t="shared" si="21"/>
        <v>4.5357808871966379</v>
      </c>
      <c r="O57" s="696"/>
    </row>
    <row r="58" spans="1:15" ht="15" x14ac:dyDescent="0.25">
      <c r="A58" s="462"/>
      <c r="B58" s="116" t="s">
        <v>63</v>
      </c>
      <c r="C58" s="117" t="str">
        <f>SU_06001</f>
        <v>SU 06001</v>
      </c>
      <c r="D58" s="463" t="s">
        <v>11</v>
      </c>
      <c r="E58" s="463" t="s">
        <v>310</v>
      </c>
      <c r="F58" s="464" t="s">
        <v>311</v>
      </c>
      <c r="G58" s="463"/>
      <c r="H58" s="698">
        <f t="shared" si="22"/>
        <v>1.3710986506763019</v>
      </c>
      <c r="I58" s="699">
        <f>SU_06001_q*SU_A0600_q</f>
        <v>4</v>
      </c>
      <c r="J58" s="700">
        <f>SU_06001_m</f>
        <v>4.6098650676301943E-2</v>
      </c>
      <c r="K58" s="700">
        <f>SU_06001_p</f>
        <v>1.325</v>
      </c>
      <c r="L58" s="700">
        <v>0</v>
      </c>
      <c r="M58" s="700">
        <v>0</v>
      </c>
      <c r="N58" s="701">
        <f t="shared" si="21"/>
        <v>5.4843946027052075</v>
      </c>
      <c r="O58" s="465"/>
    </row>
    <row r="59" spans="1:15" ht="15" x14ac:dyDescent="0.25">
      <c r="A59" s="462"/>
      <c r="B59" s="697" t="str">
        <f>'SU A0600'!$B$3</f>
        <v>Suspension &amp; Shocks</v>
      </c>
      <c r="C59" s="117" t="str">
        <f>SU_06002</f>
        <v>SU 06002</v>
      </c>
      <c r="D59" s="463" t="s">
        <v>11</v>
      </c>
      <c r="E59" s="463" t="s">
        <v>310</v>
      </c>
      <c r="F59" s="464" t="s">
        <v>312</v>
      </c>
      <c r="G59" s="463"/>
      <c r="H59" s="698">
        <f t="shared" si="22"/>
        <v>1.5427786126391492</v>
      </c>
      <c r="I59" s="702">
        <f>SU_06002_q*SU_A0600_q</f>
        <v>2</v>
      </c>
      <c r="J59" s="700">
        <f>SU_06002_m</f>
        <v>5.4378612639149136E-2</v>
      </c>
      <c r="K59" s="700">
        <f>SU_06002_p</f>
        <v>1.4883999999999999</v>
      </c>
      <c r="L59" s="700">
        <v>0</v>
      </c>
      <c r="M59" s="700">
        <v>0</v>
      </c>
      <c r="N59" s="701">
        <f t="shared" si="21"/>
        <v>3.0855572252782983</v>
      </c>
      <c r="O59" s="465"/>
    </row>
    <row r="60" spans="1:15" ht="15" x14ac:dyDescent="0.25">
      <c r="A60" s="462"/>
      <c r="B60" s="697" t="str">
        <f>'SU A0600'!$B$3</f>
        <v>Suspension &amp; Shocks</v>
      </c>
      <c r="C60" s="117" t="str">
        <f>SU_06003</f>
        <v>SU 06003</v>
      </c>
      <c r="D60" s="463" t="s">
        <v>11</v>
      </c>
      <c r="E60" s="463" t="s">
        <v>310</v>
      </c>
      <c r="F60" s="464" t="s">
        <v>313</v>
      </c>
      <c r="G60" s="463"/>
      <c r="H60" s="698">
        <f t="shared" si="22"/>
        <v>0.88140624999999995</v>
      </c>
      <c r="I60" s="702">
        <f>SU_06003_q*SU_A0600_q</f>
        <v>4</v>
      </c>
      <c r="J60" s="700">
        <f>SU_06003_m</f>
        <v>0.39740625000000002</v>
      </c>
      <c r="K60" s="700">
        <f>SU_06003_p</f>
        <v>0.48399999999999999</v>
      </c>
      <c r="L60" s="700">
        <v>0</v>
      </c>
      <c r="M60" s="700">
        <v>0</v>
      </c>
      <c r="N60" s="701">
        <f t="shared" si="21"/>
        <v>3.5256249999999998</v>
      </c>
      <c r="O60" s="465"/>
    </row>
    <row r="61" spans="1:15" ht="15" x14ac:dyDescent="0.25">
      <c r="A61" s="462"/>
      <c r="B61" s="697" t="str">
        <f>'SU A0600'!$B$3</f>
        <v>Suspension &amp; Shocks</v>
      </c>
      <c r="C61" s="117" t="str">
        <f>SU_06004</f>
        <v>SU 06004</v>
      </c>
      <c r="D61" s="463" t="s">
        <v>11</v>
      </c>
      <c r="E61" s="463" t="s">
        <v>310</v>
      </c>
      <c r="F61" s="464" t="s">
        <v>314</v>
      </c>
      <c r="G61" s="463"/>
      <c r="H61" s="698">
        <f t="shared" si="22"/>
        <v>2.2702062500000002</v>
      </c>
      <c r="I61" s="702">
        <f>SU_06003_q*SU_A0600_q</f>
        <v>4</v>
      </c>
      <c r="J61" s="700">
        <f>SU_06004_m</f>
        <v>0.11480624999999998</v>
      </c>
      <c r="K61" s="700">
        <f>SU_06004_p</f>
        <v>2.1554000000000002</v>
      </c>
      <c r="L61" s="700">
        <v>0</v>
      </c>
      <c r="M61" s="700">
        <v>0</v>
      </c>
      <c r="N61" s="701">
        <f t="shared" si="21"/>
        <v>9.0808250000000008</v>
      </c>
      <c r="O61" s="465"/>
    </row>
    <row r="62" spans="1:15" ht="15" x14ac:dyDescent="0.25">
      <c r="A62" s="688"/>
      <c r="B62" s="689" t="str">
        <f>'SU A0600'!$B$3</f>
        <v>Suspension &amp; Shocks</v>
      </c>
      <c r="C62" s="111" t="str">
        <f>SU_A0700</f>
        <v>SU A0700</v>
      </c>
      <c r="D62" s="690" t="s">
        <v>11</v>
      </c>
      <c r="E62" s="690"/>
      <c r="F62" s="691" t="str">
        <f>'SU A0700'!B4</f>
        <v>Rear suspension</v>
      </c>
      <c r="G62" s="690"/>
      <c r="H62" s="692">
        <f t="shared" ref="H62:H63" si="23">SUM(J62:M62)</f>
        <v>335.02112416361354</v>
      </c>
      <c r="I62" s="693">
        <f>SU_A0700_q</f>
        <v>2</v>
      </c>
      <c r="J62" s="694">
        <f>SU_A0700_m</f>
        <v>330.04</v>
      </c>
      <c r="K62" s="694">
        <f>SU_A0700_p</f>
        <v>4.24</v>
      </c>
      <c r="L62" s="694">
        <f>SU_A0700_f</f>
        <v>0.40779083028016511</v>
      </c>
      <c r="M62" s="694">
        <f>SU_A0700_t</f>
        <v>0.33333333333333331</v>
      </c>
      <c r="N62" s="695">
        <f t="shared" si="21"/>
        <v>670.04224832722707</v>
      </c>
      <c r="O62" s="696"/>
    </row>
    <row r="63" spans="1:15" ht="15" x14ac:dyDescent="0.25">
      <c r="A63" s="462"/>
      <c r="B63" s="697" t="str">
        <f>'SU A0600'!$B$3</f>
        <v>Suspension &amp; Shocks</v>
      </c>
      <c r="C63" s="777" t="str">
        <f>SU_07001</f>
        <v>SU 07001</v>
      </c>
      <c r="D63" s="463" t="s">
        <v>11</v>
      </c>
      <c r="E63" s="463" t="str">
        <f>F62</f>
        <v>Rear suspension</v>
      </c>
      <c r="F63" s="464" t="str">
        <f>'SU 07001'!B5</f>
        <v>Shock rear Bracket</v>
      </c>
      <c r="G63" s="463"/>
      <c r="H63" s="698">
        <f t="shared" si="23"/>
        <v>5.9234014172552163</v>
      </c>
      <c r="I63" s="699">
        <f>SU_07001_q*SU_A0700_q</f>
        <v>2</v>
      </c>
      <c r="J63" s="700">
        <f>SU_07001_m</f>
        <v>0.38660141725521602</v>
      </c>
      <c r="K63" s="700">
        <f>SU_07001_p</f>
        <v>5.5368000000000004</v>
      </c>
      <c r="L63" s="700">
        <v>0</v>
      </c>
      <c r="M63" s="700">
        <v>0</v>
      </c>
      <c r="N63" s="701">
        <f t="shared" si="21"/>
        <v>11.846802834510433</v>
      </c>
      <c r="O63" s="465"/>
    </row>
    <row r="64" spans="1:15" ht="15" x14ac:dyDescent="0.25">
      <c r="A64" s="109"/>
      <c r="B64" s="689" t="str">
        <f>'SU A0600'!$B$3</f>
        <v>Suspension &amp; Shocks</v>
      </c>
      <c r="C64" s="111" t="str">
        <f>SU_A0800</f>
        <v>SU A0800</v>
      </c>
      <c r="D64" s="111" t="s">
        <v>11</v>
      </c>
      <c r="E64" s="111"/>
      <c r="F64" s="262" t="s">
        <v>366</v>
      </c>
      <c r="G64" s="111"/>
      <c r="H64" s="112">
        <f t="shared" ref="H64:H67" si="24">SUM(J64:M64)</f>
        <v>4.8177252544509166</v>
      </c>
      <c r="I64" s="674">
        <f>SU_A0800_q</f>
        <v>2</v>
      </c>
      <c r="J64" s="113">
        <f>SU_A0800_m</f>
        <v>0.2</v>
      </c>
      <c r="K64" s="113">
        <f>SU_A0800_p</f>
        <v>3.5024999999999999</v>
      </c>
      <c r="L64" s="113">
        <f>SU_A0800_f</f>
        <v>0.11522525445091675</v>
      </c>
      <c r="M64" s="113">
        <f>SU_A0800_t</f>
        <v>1</v>
      </c>
      <c r="N64" s="114">
        <f t="shared" si="21"/>
        <v>9.6354505089018332</v>
      </c>
      <c r="O64" s="115"/>
    </row>
    <row r="65" spans="1:15" ht="15" x14ac:dyDescent="0.25">
      <c r="A65" s="116"/>
      <c r="B65" s="697" t="str">
        <f>'SU A0600'!$B$3</f>
        <v>Suspension &amp; Shocks</v>
      </c>
      <c r="C65" s="777" t="str">
        <f>SU_08001</f>
        <v>SU 08001</v>
      </c>
      <c r="D65" s="117" t="s">
        <v>11</v>
      </c>
      <c r="E65" s="117" t="str">
        <f>$F$64</f>
        <v>Rear Bell Cranck</v>
      </c>
      <c r="F65" s="118" t="s">
        <v>311</v>
      </c>
      <c r="G65" s="117"/>
      <c r="H65" s="119">
        <f t="shared" si="24"/>
        <v>1.3710986506763019</v>
      </c>
      <c r="I65" s="675">
        <f>SU_08001_q*SU_A0800_q</f>
        <v>4</v>
      </c>
      <c r="J65" s="120">
        <f>SU_08001_m</f>
        <v>4.6098650676301943E-2</v>
      </c>
      <c r="K65" s="120">
        <f>SU_08001_p</f>
        <v>1.325</v>
      </c>
      <c r="L65" s="120">
        <v>0</v>
      </c>
      <c r="M65" s="120">
        <v>0</v>
      </c>
      <c r="N65" s="121">
        <f t="shared" si="21"/>
        <v>5.4843946027052075</v>
      </c>
      <c r="O65" s="122"/>
    </row>
    <row r="66" spans="1:15" ht="15" x14ac:dyDescent="0.25">
      <c r="A66" s="116"/>
      <c r="B66" s="781" t="str">
        <f>'SU A0800'!$B$3</f>
        <v>Suspension &amp; Shocks</v>
      </c>
      <c r="C66" s="777" t="str">
        <f>SU_08002</f>
        <v>SU 08002</v>
      </c>
      <c r="D66" s="117" t="s">
        <v>11</v>
      </c>
      <c r="E66" s="117" t="str">
        <f t="shared" ref="E66:E67" si="25">$F$64</f>
        <v>Rear Bell Cranck</v>
      </c>
      <c r="F66" s="118" t="s">
        <v>313</v>
      </c>
      <c r="G66" s="117"/>
      <c r="H66" s="119">
        <f t="shared" si="24"/>
        <v>2.0644187499999997</v>
      </c>
      <c r="I66" s="123">
        <f>SU_08002_q*SU_A0800_q</f>
        <v>4</v>
      </c>
      <c r="J66" s="120">
        <f>SU_08002_m</f>
        <v>0.34441874999999994</v>
      </c>
      <c r="K66" s="120">
        <f>SU_08002_p</f>
        <v>1.72</v>
      </c>
      <c r="L66" s="120">
        <v>0</v>
      </c>
      <c r="M66" s="120">
        <v>0</v>
      </c>
      <c r="N66" s="121">
        <f t="shared" si="21"/>
        <v>8.257674999999999</v>
      </c>
      <c r="O66" s="122"/>
    </row>
    <row r="67" spans="1:15" ht="15" x14ac:dyDescent="0.25">
      <c r="A67" s="116"/>
      <c r="B67" s="781" t="str">
        <f>'SU A0800'!$B$3</f>
        <v>Suspension &amp; Shocks</v>
      </c>
      <c r="C67" s="777" t="str">
        <f>SU_08003</f>
        <v>SU 08003</v>
      </c>
      <c r="D67" s="117" t="s">
        <v>11</v>
      </c>
      <c r="E67" s="117" t="str">
        <f t="shared" si="25"/>
        <v>Rear Bell Cranck</v>
      </c>
      <c r="F67" s="118" t="s">
        <v>367</v>
      </c>
      <c r="G67" s="117"/>
      <c r="H67" s="119">
        <f t="shared" si="24"/>
        <v>3.3779399999999997</v>
      </c>
      <c r="I67" s="123">
        <f>SU_08003_q*SU_A0800_q</f>
        <v>2</v>
      </c>
      <c r="J67" s="120">
        <f>SU_08003_m</f>
        <v>0.81953999999999994</v>
      </c>
      <c r="K67" s="120">
        <f>SU_08003_p</f>
        <v>2.5583999999999998</v>
      </c>
      <c r="L67" s="120">
        <v>0</v>
      </c>
      <c r="M67" s="120">
        <v>0</v>
      </c>
      <c r="N67" s="121">
        <f t="shared" si="21"/>
        <v>6.7558799999999994</v>
      </c>
      <c r="O67" s="122"/>
    </row>
    <row r="68" spans="1:15" ht="15" x14ac:dyDescent="0.25">
      <c r="A68" s="109"/>
      <c r="B68" s="689" t="str">
        <f>'SU A0600'!$B$3</f>
        <v>Suspension &amp; Shocks</v>
      </c>
      <c r="C68" s="111" t="str">
        <f>SU_A0900</f>
        <v>SU A0900</v>
      </c>
      <c r="D68" s="111" t="s">
        <v>11</v>
      </c>
      <c r="E68" s="111"/>
      <c r="F68" s="262" t="str">
        <f>'SU A0900'!B4</f>
        <v xml:space="preserve">Rear Tie rod  </v>
      </c>
      <c r="G68" s="111"/>
      <c r="H68" s="112">
        <f t="shared" ref="H68:H71" si="26">SUM(J68:M68)</f>
        <v>13.655876325139229</v>
      </c>
      <c r="I68" s="674">
        <f>SU_A0900_q</f>
        <v>2</v>
      </c>
      <c r="J68" s="113">
        <f>SU_A0900_m</f>
        <v>5</v>
      </c>
      <c r="K68" s="113">
        <f>SU_A0900_p</f>
        <v>8.0960000000000001</v>
      </c>
      <c r="L68" s="113">
        <f>SU_A0900_f</f>
        <v>0.55987632513922869</v>
      </c>
      <c r="M68" s="113">
        <v>0</v>
      </c>
      <c r="N68" s="114">
        <f t="shared" ref="N68:N71" si="27">H68*I68</f>
        <v>27.311752650278457</v>
      </c>
      <c r="O68" s="115"/>
    </row>
    <row r="69" spans="1:15" ht="15" x14ac:dyDescent="0.25">
      <c r="A69" s="116"/>
      <c r="B69" s="697" t="str">
        <f>'SU A0600'!$B$3</f>
        <v>Suspension &amp; Shocks</v>
      </c>
      <c r="C69" s="777" t="str">
        <f>SU_09001</f>
        <v>SU 09001</v>
      </c>
      <c r="D69" s="117" t="s">
        <v>11</v>
      </c>
      <c r="E69" s="117" t="str">
        <f>$F$68</f>
        <v xml:space="preserve">Rear Tie rod  </v>
      </c>
      <c r="F69" s="118" t="str">
        <f>'SU 09001'!B5</f>
        <v>Tie rod tube</v>
      </c>
      <c r="G69" s="117"/>
      <c r="H69" s="119">
        <f t="shared" si="26"/>
        <v>9.0687098494115101</v>
      </c>
      <c r="I69" s="675">
        <f>SU_09001_q*SU_A0900_q</f>
        <v>2</v>
      </c>
      <c r="J69" s="120">
        <f>SU_09001_m</f>
        <v>8.0610754216991207</v>
      </c>
      <c r="K69" s="120">
        <f>SU_09001_p</f>
        <v>1.0076344277123901</v>
      </c>
      <c r="L69" s="120">
        <v>0</v>
      </c>
      <c r="M69" s="120">
        <v>0</v>
      </c>
      <c r="N69" s="121">
        <f t="shared" si="27"/>
        <v>18.13741969882302</v>
      </c>
      <c r="O69" s="122"/>
    </row>
    <row r="70" spans="1:15" ht="15" x14ac:dyDescent="0.25">
      <c r="A70" s="116"/>
      <c r="B70" s="781" t="str">
        <f>'SU A0800'!$B$3</f>
        <v>Suspension &amp; Shocks</v>
      </c>
      <c r="C70" s="777" t="str">
        <f>SU_09002</f>
        <v>SU 09002</v>
      </c>
      <c r="D70" s="117" t="s">
        <v>11</v>
      </c>
      <c r="E70" s="117" t="str">
        <f t="shared" ref="E70:E72" si="28">$F$68</f>
        <v xml:space="preserve">Rear Tie rod  </v>
      </c>
      <c r="F70" s="118" t="str">
        <f>'SU 09002'!B5</f>
        <v>Tie rod insert</v>
      </c>
      <c r="G70" s="117"/>
      <c r="H70" s="119">
        <f t="shared" si="26"/>
        <v>1.5833945082514056</v>
      </c>
      <c r="I70" s="123">
        <f>SU_09002_q*SU_A0900_q</f>
        <v>4</v>
      </c>
      <c r="J70" s="120">
        <f>SU_09002_m</f>
        <v>0.29364450825140537</v>
      </c>
      <c r="K70" s="120">
        <f>SU_09002_p</f>
        <v>1.2897500000000002</v>
      </c>
      <c r="L70" s="120">
        <v>0</v>
      </c>
      <c r="M70" s="120">
        <v>0</v>
      </c>
      <c r="N70" s="121">
        <f t="shared" si="27"/>
        <v>6.3335780330056224</v>
      </c>
      <c r="O70" s="122"/>
    </row>
    <row r="71" spans="1:15" ht="15" x14ac:dyDescent="0.25">
      <c r="A71" s="116"/>
      <c r="B71" s="781" t="str">
        <f>'SU A0800'!$B$3</f>
        <v>Suspension &amp; Shocks</v>
      </c>
      <c r="C71" s="777" t="str">
        <f>SU_09003</f>
        <v>SU 09003</v>
      </c>
      <c r="D71" s="117" t="s">
        <v>11</v>
      </c>
      <c r="E71" s="117" t="str">
        <f t="shared" si="28"/>
        <v xml:space="preserve">Rear Tie rod  </v>
      </c>
      <c r="F71" s="1038" t="str">
        <f>'SU 09003'!B5</f>
        <v>Spacer 1</v>
      </c>
      <c r="G71" s="117"/>
      <c r="H71" s="119">
        <f t="shared" si="26"/>
        <v>0.23905539548753352</v>
      </c>
      <c r="I71" s="123">
        <f>SU_09003_q*SU_A0900_q</f>
        <v>4</v>
      </c>
      <c r="J71" s="120">
        <f>SU_09003_m</f>
        <v>5.6820101369886439E-2</v>
      </c>
      <c r="K71" s="120">
        <f>SU_09003_p</f>
        <v>0.18223529411764708</v>
      </c>
      <c r="L71" s="120">
        <v>0</v>
      </c>
      <c r="M71" s="120">
        <v>0</v>
      </c>
      <c r="N71" s="121">
        <f t="shared" si="27"/>
        <v>0.95622158195013407</v>
      </c>
      <c r="O71" s="122"/>
    </row>
    <row r="72" spans="1:15" ht="15" x14ac:dyDescent="0.25">
      <c r="A72" s="116"/>
      <c r="B72" s="781" t="str">
        <f>'SU A0800'!$B$3</f>
        <v>Suspension &amp; Shocks</v>
      </c>
      <c r="C72" s="777" t="str">
        <f>SU_09004</f>
        <v>SU 09004</v>
      </c>
      <c r="D72" s="117" t="s">
        <v>11</v>
      </c>
      <c r="E72" s="117" t="str">
        <f t="shared" si="28"/>
        <v xml:space="preserve">Rear Tie rod  </v>
      </c>
      <c r="F72" s="1038" t="str">
        <f>'SU 09004'!B5</f>
        <v>Spacer 2</v>
      </c>
      <c r="G72" s="117"/>
      <c r="H72" s="119">
        <f t="shared" ref="H72:H76" si="29">SUM(J72:M72)</f>
        <v>1.0636402027397729</v>
      </c>
      <c r="I72" s="123">
        <f>SU_09004_q*SU_A0900_q</f>
        <v>4</v>
      </c>
      <c r="J72" s="120">
        <f>SU_09004_m</f>
        <v>0.11364020273977288</v>
      </c>
      <c r="K72" s="120">
        <f>SU_09004_p</f>
        <v>0.95000000000000007</v>
      </c>
      <c r="L72" s="120">
        <v>0</v>
      </c>
      <c r="M72" s="120">
        <v>0</v>
      </c>
      <c r="N72" s="121">
        <f t="shared" ref="N72:N76" si="30">H72*I72</f>
        <v>4.2545608109590916</v>
      </c>
      <c r="O72" s="122"/>
    </row>
    <row r="73" spans="1:15" ht="15" x14ac:dyDescent="0.25">
      <c r="A73" s="109"/>
      <c r="B73" s="689" t="str">
        <f>'SU A0600'!$B$3</f>
        <v>Suspension &amp; Shocks</v>
      </c>
      <c r="C73" s="111" t="str">
        <f>SU_A1000</f>
        <v>SU A1000</v>
      </c>
      <c r="D73" s="111" t="s">
        <v>11</v>
      </c>
      <c r="E73" s="111"/>
      <c r="F73" s="262" t="str">
        <f>'SU A1000'!B4</f>
        <v>Front Uprights</v>
      </c>
      <c r="G73" s="111"/>
      <c r="H73" s="112">
        <f t="shared" si="29"/>
        <v>16.481887142858277</v>
      </c>
      <c r="I73" s="674">
        <f>SU_A1000_q</f>
        <v>2</v>
      </c>
      <c r="J73" s="113">
        <v>0</v>
      </c>
      <c r="K73" s="113">
        <f>SU_A1000_p</f>
        <v>15.46</v>
      </c>
      <c r="L73" s="113">
        <f>SU_A1000_f</f>
        <v>1.0218871428582772</v>
      </c>
      <c r="M73" s="113">
        <v>0</v>
      </c>
      <c r="N73" s="114">
        <f t="shared" si="30"/>
        <v>32.963774285716553</v>
      </c>
      <c r="O73" s="115"/>
    </row>
    <row r="74" spans="1:15" ht="15" x14ac:dyDescent="0.25">
      <c r="A74" s="116"/>
      <c r="B74" s="697" t="str">
        <f>'SU A0600'!$B$3</f>
        <v>Suspension &amp; Shocks</v>
      </c>
      <c r="C74" s="777" t="str">
        <f>SU_10001</f>
        <v>SU 10001</v>
      </c>
      <c r="D74" s="117" t="s">
        <v>11</v>
      </c>
      <c r="E74" s="117" t="str">
        <f>$F$73</f>
        <v>Front Uprights</v>
      </c>
      <c r="F74" s="118" t="str">
        <f>'SU 10001'!B5</f>
        <v>Front Upright</v>
      </c>
      <c r="G74" s="117"/>
      <c r="H74" s="119">
        <f t="shared" si="29"/>
        <v>106.18580800000001</v>
      </c>
      <c r="I74" s="675">
        <f>SU_10001_q*SU_A1000_q</f>
        <v>2</v>
      </c>
      <c r="J74" s="120">
        <f>SU_10001_m</f>
        <v>28.703808000000002</v>
      </c>
      <c r="K74" s="120">
        <f>SU_10001_p</f>
        <v>77.482000000000014</v>
      </c>
      <c r="L74" s="120">
        <v>0</v>
      </c>
      <c r="M74" s="120">
        <v>0</v>
      </c>
      <c r="N74" s="121">
        <f t="shared" si="30"/>
        <v>212.37161600000002</v>
      </c>
      <c r="O74" s="122"/>
    </row>
    <row r="75" spans="1:15" ht="15" x14ac:dyDescent="0.25">
      <c r="A75" s="116"/>
      <c r="B75" s="781" t="str">
        <f>'SU A0800'!$B$3</f>
        <v>Suspension &amp; Shocks</v>
      </c>
      <c r="C75" s="777" t="str">
        <f>SU_10002</f>
        <v>SU 10002</v>
      </c>
      <c r="D75" s="117" t="s">
        <v>11</v>
      </c>
      <c r="E75" s="117" t="str">
        <f t="shared" ref="E75:E77" si="31">$F$73</f>
        <v>Front Uprights</v>
      </c>
      <c r="F75" s="118" t="str">
        <f>'SU 10002'!B5</f>
        <v>Upper Arm Wedge</v>
      </c>
      <c r="G75" s="117"/>
      <c r="H75" s="119">
        <f t="shared" si="29"/>
        <v>2.5052785600000003</v>
      </c>
      <c r="I75" s="123">
        <f>SU_10002_q*SU_A1000_q</f>
        <v>2</v>
      </c>
      <c r="J75" s="120">
        <f>SU_10002_m</f>
        <v>0.21527856000000004</v>
      </c>
      <c r="K75" s="120">
        <f>SU_10002_p</f>
        <v>2.29</v>
      </c>
      <c r="L75" s="120">
        <v>0</v>
      </c>
      <c r="M75" s="120">
        <v>0</v>
      </c>
      <c r="N75" s="121">
        <f t="shared" si="30"/>
        <v>5.0105571200000005</v>
      </c>
      <c r="O75" s="122"/>
    </row>
    <row r="76" spans="1:15" ht="15" x14ac:dyDescent="0.25">
      <c r="A76" s="116"/>
      <c r="B76" s="781" t="str">
        <f>'SU A0800'!$B$3</f>
        <v>Suspension &amp; Shocks</v>
      </c>
      <c r="C76" s="777" t="str">
        <f>SU_10003</f>
        <v>SU 10003</v>
      </c>
      <c r="D76" s="117" t="s">
        <v>11</v>
      </c>
      <c r="E76" s="117" t="str">
        <f t="shared" si="31"/>
        <v>Front Uprights</v>
      </c>
      <c r="F76" s="1039" t="str">
        <f>'SU 10003'!B5</f>
        <v>Upper Arm Bracket</v>
      </c>
      <c r="G76" s="117"/>
      <c r="H76" s="119">
        <f t="shared" si="29"/>
        <v>18.677843750000001</v>
      </c>
      <c r="I76" s="123">
        <f>SU_10003_q*SU_A1000_q</f>
        <v>2</v>
      </c>
      <c r="J76" s="120">
        <f>SU_10003_m</f>
        <v>2.7818437500000002</v>
      </c>
      <c r="K76" s="120">
        <f>SU_10003_p</f>
        <v>15.896000000000001</v>
      </c>
      <c r="L76" s="120">
        <v>0</v>
      </c>
      <c r="M76" s="120">
        <v>0</v>
      </c>
      <c r="N76" s="121">
        <f t="shared" si="30"/>
        <v>37.355687500000002</v>
      </c>
      <c r="O76" s="122"/>
    </row>
    <row r="77" spans="1:15" ht="15" x14ac:dyDescent="0.25">
      <c r="A77" s="116"/>
      <c r="B77" s="781" t="str">
        <f>'SU A0800'!$B$3</f>
        <v>Suspension &amp; Shocks</v>
      </c>
      <c r="C77" s="777" t="str">
        <f>SU_10004</f>
        <v>SU 10004</v>
      </c>
      <c r="D77" s="117" t="s">
        <v>11</v>
      </c>
      <c r="E77" s="117" t="str">
        <f t="shared" si="31"/>
        <v>Front Uprights</v>
      </c>
      <c r="F77" s="1039" t="str">
        <f>'SU 10004'!B5</f>
        <v>Speed Sensor Bracket</v>
      </c>
      <c r="G77" s="117"/>
      <c r="H77" s="119">
        <f t="shared" ref="H77" si="32">SUM(J77:M77)</f>
        <v>0.83572750000000007</v>
      </c>
      <c r="I77" s="123">
        <f>SU_10004_q*SU_A1000_q</f>
        <v>2</v>
      </c>
      <c r="J77" s="120">
        <f>SU_10004_m</f>
        <v>2.4727499999999999E-2</v>
      </c>
      <c r="K77" s="120">
        <f>SU_10004_p</f>
        <v>0.81100000000000005</v>
      </c>
      <c r="L77" s="120">
        <v>0</v>
      </c>
      <c r="M77" s="120">
        <v>0</v>
      </c>
      <c r="N77" s="121">
        <f t="shared" ref="N77" si="33">H77*I77</f>
        <v>1.6714550000000001</v>
      </c>
      <c r="O77" s="122"/>
    </row>
    <row r="78" spans="1:15" ht="15" x14ac:dyDescent="0.25">
      <c r="A78" s="116"/>
      <c r="B78" s="781" t="str">
        <f>'SU A0800'!$B$3</f>
        <v>Suspension &amp; Shocks</v>
      </c>
      <c r="C78" s="777" t="str">
        <f>SU_10005</f>
        <v>SU 10005</v>
      </c>
      <c r="D78" s="117" t="s">
        <v>11</v>
      </c>
      <c r="E78" s="117" t="str">
        <f>$F$73</f>
        <v>Front Uprights</v>
      </c>
      <c r="F78" s="1039" t="str">
        <f>'SU 10005'!B5</f>
        <v>Camber adjustment shim</v>
      </c>
      <c r="G78" s="117"/>
      <c r="H78" s="119">
        <f t="shared" ref="H78:H83" si="34">SUM(J78:M78)</f>
        <v>0.42691833333333334</v>
      </c>
      <c r="I78" s="123">
        <f>SU_10005_q*SU_A1000_q</f>
        <v>30</v>
      </c>
      <c r="J78" s="120">
        <f>SU_10005_m</f>
        <v>6.3585000000000003E-2</v>
      </c>
      <c r="K78" s="120">
        <f>SU_10005_p</f>
        <v>0.36333333333333334</v>
      </c>
      <c r="L78" s="120">
        <v>0</v>
      </c>
      <c r="M78" s="120">
        <v>0</v>
      </c>
      <c r="N78" s="121">
        <f t="shared" ref="N78:N87" si="35">H78*I78</f>
        <v>12.807550000000001</v>
      </c>
      <c r="O78" s="122"/>
    </row>
    <row r="79" spans="1:15" ht="15" x14ac:dyDescent="0.25">
      <c r="A79" s="109"/>
      <c r="B79" s="689" t="str">
        <f>'SU A0600'!$B$3</f>
        <v>Suspension &amp; Shocks</v>
      </c>
      <c r="C79" s="111" t="str">
        <f>SU_A1100</f>
        <v>SU A1100</v>
      </c>
      <c r="D79" s="111" t="s">
        <v>11</v>
      </c>
      <c r="E79" s="111"/>
      <c r="F79" s="262" t="str">
        <f>'SU A1100 '!B4</f>
        <v>Rear Uprights</v>
      </c>
      <c r="G79" s="111"/>
      <c r="H79" s="112">
        <f t="shared" si="34"/>
        <v>17.410454335645525</v>
      </c>
      <c r="I79" s="674">
        <f>SU_A1100_q</f>
        <v>2</v>
      </c>
      <c r="J79" s="113">
        <v>0</v>
      </c>
      <c r="K79" s="113">
        <f>SU_A1100_p</f>
        <v>16.329999999999998</v>
      </c>
      <c r="L79" s="113">
        <f>SU_A1100_f</f>
        <v>1.0804543356455256</v>
      </c>
      <c r="M79" s="113">
        <v>0</v>
      </c>
      <c r="N79" s="114">
        <f t="shared" si="35"/>
        <v>34.82090867129105</v>
      </c>
      <c r="O79" s="115"/>
    </row>
    <row r="80" spans="1:15" ht="15" x14ac:dyDescent="0.25">
      <c r="A80" s="116"/>
      <c r="B80" s="697" t="str">
        <f>'SU A0600'!$B$3</f>
        <v>Suspension &amp; Shocks</v>
      </c>
      <c r="C80" s="777" t="str">
        <f>SU_11001</f>
        <v>SU 11001</v>
      </c>
      <c r="D80" s="117" t="s">
        <v>11</v>
      </c>
      <c r="E80" s="117" t="str">
        <f>$F$79</f>
        <v>Rear Uprights</v>
      </c>
      <c r="F80" s="118" t="str">
        <f>'SU 11001'!B5</f>
        <v>Rear Upright</v>
      </c>
      <c r="G80" s="117"/>
      <c r="H80" s="119">
        <f t="shared" si="34"/>
        <v>106.51997000000001</v>
      </c>
      <c r="I80" s="675">
        <f>SU_11001_q*SU_A1100_q</f>
        <v>2</v>
      </c>
      <c r="J80" s="120">
        <f>SU_11001_m</f>
        <v>25.84197</v>
      </c>
      <c r="K80" s="120">
        <f>SU_11001_p</f>
        <v>80.678000000000011</v>
      </c>
      <c r="L80" s="120">
        <v>0</v>
      </c>
      <c r="M80" s="120">
        <v>0</v>
      </c>
      <c r="N80" s="121">
        <f t="shared" si="35"/>
        <v>213.03994000000003</v>
      </c>
      <c r="O80" s="122"/>
    </row>
    <row r="81" spans="1:15" ht="15" x14ac:dyDescent="0.25">
      <c r="A81" s="116"/>
      <c r="B81" s="781" t="str">
        <f>'SU A0800'!$B$3</f>
        <v>Suspension &amp; Shocks</v>
      </c>
      <c r="C81" s="777" t="str">
        <f>SU_11002</f>
        <v>SU 11002</v>
      </c>
      <c r="D81" s="117" t="s">
        <v>11</v>
      </c>
      <c r="E81" s="117" t="str">
        <f t="shared" ref="E81:E83" si="36">$F$79</f>
        <v>Rear Uprights</v>
      </c>
      <c r="F81" s="118" t="str">
        <f>'SU 11002'!B5</f>
        <v>Upper Arm Bracket</v>
      </c>
      <c r="G81" s="117"/>
      <c r="H81" s="119">
        <f t="shared" si="34"/>
        <v>21.194420000000001</v>
      </c>
      <c r="I81" s="123">
        <f>SU_11002_q*SU_A1100_q</f>
        <v>2</v>
      </c>
      <c r="J81" s="120">
        <f>SU_11002_m</f>
        <v>3.3064199999999997</v>
      </c>
      <c r="K81" s="120">
        <f>SU_11002_p</f>
        <v>17.888000000000002</v>
      </c>
      <c r="L81" s="120">
        <v>0</v>
      </c>
      <c r="M81" s="120">
        <v>0</v>
      </c>
      <c r="N81" s="121">
        <f t="shared" si="35"/>
        <v>42.388840000000002</v>
      </c>
      <c r="O81" s="122"/>
    </row>
    <row r="82" spans="1:15" ht="15" x14ac:dyDescent="0.25">
      <c r="A82" s="116"/>
      <c r="B82" s="781" t="str">
        <f>'SU A0800'!$B$3</f>
        <v>Suspension &amp; Shocks</v>
      </c>
      <c r="C82" s="777" t="str">
        <f>SU_11003</f>
        <v>SU 11003</v>
      </c>
      <c r="D82" s="117" t="s">
        <v>11</v>
      </c>
      <c r="E82" s="117" t="str">
        <f t="shared" si="36"/>
        <v>Rear Uprights</v>
      </c>
      <c r="F82" s="1039" t="str">
        <f>'SU 11003'!B5</f>
        <v>Speed Sensor Bracket</v>
      </c>
      <c r="G82" s="117"/>
      <c r="H82" s="119">
        <f t="shared" si="34"/>
        <v>0.82576020000000006</v>
      </c>
      <c r="I82" s="123">
        <f>SU_11003_q*SU_A1100_q</f>
        <v>2</v>
      </c>
      <c r="J82" s="120">
        <f>SU_11003_m</f>
        <v>2.17602E-2</v>
      </c>
      <c r="K82" s="120">
        <f>SU_11003_p</f>
        <v>0.80400000000000005</v>
      </c>
      <c r="L82" s="120">
        <v>0</v>
      </c>
      <c r="M82" s="120">
        <v>0</v>
      </c>
      <c r="N82" s="121">
        <f t="shared" si="35"/>
        <v>1.6515204000000001</v>
      </c>
      <c r="O82" s="122"/>
    </row>
    <row r="83" spans="1:15" ht="15" x14ac:dyDescent="0.25">
      <c r="A83" s="116"/>
      <c r="B83" s="781" t="str">
        <f>'SU A0800'!$B$3</f>
        <v>Suspension &amp; Shocks</v>
      </c>
      <c r="C83" s="777" t="str">
        <f>SU_11004</f>
        <v>SU 11004</v>
      </c>
      <c r="D83" s="117" t="s">
        <v>11</v>
      </c>
      <c r="E83" s="117" t="str">
        <f t="shared" si="36"/>
        <v>Rear Uprights</v>
      </c>
      <c r="F83" s="1039" t="str">
        <f>'SU 11004'!B5</f>
        <v>Camber adjustment shim</v>
      </c>
      <c r="G83" s="117"/>
      <c r="H83" s="119">
        <f t="shared" si="34"/>
        <v>0.42454853333333331</v>
      </c>
      <c r="I83" s="123">
        <f>SU_11004_q*SU_A1100_q</f>
        <v>30</v>
      </c>
      <c r="J83" s="120">
        <f>SU_11004_m</f>
        <v>7.1215199999999992E-2</v>
      </c>
      <c r="K83" s="120">
        <f>SU_11004_p</f>
        <v>0.35333333333333333</v>
      </c>
      <c r="L83" s="120">
        <v>0</v>
      </c>
      <c r="M83" s="120">
        <v>0</v>
      </c>
      <c r="N83" s="121">
        <f t="shared" si="35"/>
        <v>12.736455999999999</v>
      </c>
      <c r="O83" s="122"/>
    </row>
    <row r="84" spans="1:15" ht="15" x14ac:dyDescent="0.25">
      <c r="A84" s="1132"/>
      <c r="B84" s="110" t="str">
        <f>'SU A0800'!$B$3</f>
        <v>Suspension &amp; Shocks</v>
      </c>
      <c r="C84" s="1133" t="str">
        <f>SU_A1200</f>
        <v>SU A1200</v>
      </c>
      <c r="D84" s="1133" t="s">
        <v>11</v>
      </c>
      <c r="E84" s="1133"/>
      <c r="F84" s="1134" t="str">
        <f>'SU A1200'!B4</f>
        <v>Front Pullrod</v>
      </c>
      <c r="G84" s="1133"/>
      <c r="H84" s="1135">
        <f t="shared" ref="H84:H87" si="37">SUM(J84:M84)</f>
        <v>9.8514179810150431</v>
      </c>
      <c r="I84" s="1136">
        <f>SU_A1200_q</f>
        <v>2</v>
      </c>
      <c r="J84" s="1137">
        <f>SU_A1200_m</f>
        <v>5</v>
      </c>
      <c r="K84" s="1137">
        <f>SU_A1200_p</f>
        <v>4.3660000000000005</v>
      </c>
      <c r="L84" s="1137">
        <f>SU_A1200_f</f>
        <v>0.48541798101504374</v>
      </c>
      <c r="M84" s="1137">
        <v>0</v>
      </c>
      <c r="N84" s="1138">
        <f t="shared" si="35"/>
        <v>19.702835962030086</v>
      </c>
      <c r="O84" s="1139"/>
    </row>
    <row r="85" spans="1:15" ht="15" x14ac:dyDescent="0.25">
      <c r="A85" s="1140"/>
      <c r="B85" s="781" t="str">
        <f>'SU A0800'!$B$3</f>
        <v>Suspension &amp; Shocks</v>
      </c>
      <c r="C85" s="777" t="str">
        <f>SU_12001</f>
        <v>SU 12001</v>
      </c>
      <c r="D85" s="1141" t="s">
        <v>11</v>
      </c>
      <c r="E85" s="1141" t="str">
        <f>$F$84</f>
        <v>Front Pullrod</v>
      </c>
      <c r="F85" s="118" t="str">
        <f>'SU 12001'!B5</f>
        <v>Pullrod tube</v>
      </c>
      <c r="G85" s="1141"/>
      <c r="H85" s="1142">
        <f t="shared" si="37"/>
        <v>9.0687098494115101</v>
      </c>
      <c r="I85" s="1143">
        <f>SU_12001_q*SU_A1200_q</f>
        <v>2</v>
      </c>
      <c r="J85" s="1144">
        <f>SU_12001_m</f>
        <v>8.0610754216991207</v>
      </c>
      <c r="K85" s="1144">
        <f>SU_12001_p</f>
        <v>1.0076344277123901</v>
      </c>
      <c r="L85" s="1144">
        <v>0</v>
      </c>
      <c r="M85" s="1144">
        <v>0</v>
      </c>
      <c r="N85" s="1145">
        <f t="shared" si="35"/>
        <v>18.13741969882302</v>
      </c>
      <c r="O85" s="1146"/>
    </row>
    <row r="86" spans="1:15" ht="15" x14ac:dyDescent="0.25">
      <c r="A86" s="1140"/>
      <c r="B86" s="781" t="str">
        <f>'SU A0800'!$B$3</f>
        <v>Suspension &amp; Shocks</v>
      </c>
      <c r="C86" s="777" t="str">
        <f>SU_12002</f>
        <v>SU 12002</v>
      </c>
      <c r="D86" s="1141" t="s">
        <v>11</v>
      </c>
      <c r="E86" s="1141" t="str">
        <f t="shared" ref="E86:E87" si="38">$F$84</f>
        <v>Front Pullrod</v>
      </c>
      <c r="F86" s="118" t="str">
        <f>'SU 12002'!B5</f>
        <v>Pullrod insert</v>
      </c>
      <c r="G86" s="1141"/>
      <c r="H86" s="1142">
        <f t="shared" si="37"/>
        <v>1.5833945082514056</v>
      </c>
      <c r="I86" s="1147">
        <f>SU_12002_q*SU_A1200_q</f>
        <v>4</v>
      </c>
      <c r="J86" s="1144">
        <f>SU_12002_m</f>
        <v>0.29364450825140531</v>
      </c>
      <c r="K86" s="1144">
        <f>SU_12002_p</f>
        <v>1.2897500000000002</v>
      </c>
      <c r="L86" s="1144">
        <v>0</v>
      </c>
      <c r="M86" s="1144">
        <v>0</v>
      </c>
      <c r="N86" s="1145">
        <f t="shared" si="35"/>
        <v>6.3335780330056224</v>
      </c>
      <c r="O86" s="1146"/>
    </row>
    <row r="87" spans="1:15" ht="15" x14ac:dyDescent="0.25">
      <c r="A87" s="1148"/>
      <c r="B87" s="781" t="str">
        <f>'SU A0800'!$B$3</f>
        <v>Suspension &amp; Shocks</v>
      </c>
      <c r="C87" s="777" t="str">
        <f>SU_12003</f>
        <v>SU 12003</v>
      </c>
      <c r="D87" s="260" t="s">
        <v>11</v>
      </c>
      <c r="E87" s="1141" t="str">
        <f t="shared" si="38"/>
        <v>Front Pullrod</v>
      </c>
      <c r="F87" s="1038" t="str">
        <f>'SU 12003'!B5</f>
        <v>Spacer 1</v>
      </c>
      <c r="G87" s="260"/>
      <c r="H87" s="1142">
        <f t="shared" si="37"/>
        <v>0.34825628167808953</v>
      </c>
      <c r="I87" s="1147">
        <f>SU_12003_q*SU_A1200_q</f>
        <v>4</v>
      </c>
      <c r="J87" s="1144">
        <f>SU_12003_m</f>
        <v>1.7756281678089514E-2</v>
      </c>
      <c r="K87" s="1144">
        <f>SU_12003_p</f>
        <v>0.33050000000000002</v>
      </c>
      <c r="L87" s="1144">
        <v>0</v>
      </c>
      <c r="M87" s="1144">
        <v>0</v>
      </c>
      <c r="N87" s="1145">
        <f t="shared" si="35"/>
        <v>1.3930251267123581</v>
      </c>
      <c r="O87" s="261"/>
    </row>
    <row r="88" spans="1:15" ht="15" x14ac:dyDescent="0.25">
      <c r="A88" s="116"/>
      <c r="B88" s="781" t="str">
        <f>'SU A0800'!$B$3</f>
        <v>Suspension &amp; Shocks</v>
      </c>
      <c r="C88" s="777" t="str">
        <f>SU_12004</f>
        <v>SU 12004</v>
      </c>
      <c r="D88" s="260" t="s">
        <v>11</v>
      </c>
      <c r="E88" s="1141" t="str">
        <f>$F$84</f>
        <v>Front Pullrod</v>
      </c>
      <c r="F88" s="1038" t="str">
        <f>'SU 12004'!B5</f>
        <v>Spacer 2</v>
      </c>
      <c r="G88" s="117"/>
      <c r="H88" s="1142">
        <f t="shared" ref="H88" si="39">SUM(J88:M88)</f>
        <v>0.36380753801370747</v>
      </c>
      <c r="I88" s="1147">
        <f>SU_12004_q*SU_A1200_q</f>
        <v>4</v>
      </c>
      <c r="J88" s="1144">
        <f>SU_12004_M</f>
        <v>2.1307538013707415E-2</v>
      </c>
      <c r="K88" s="1144">
        <f>SU_12004_P</f>
        <v>0.34250000000000003</v>
      </c>
      <c r="L88" s="1144">
        <v>0</v>
      </c>
      <c r="M88" s="1144">
        <v>0</v>
      </c>
      <c r="N88" s="1145">
        <f t="shared" ref="N88:N91" si="40">H88*I88</f>
        <v>1.4552301520548299</v>
      </c>
      <c r="O88" s="122"/>
    </row>
    <row r="89" spans="1:15" ht="15" x14ac:dyDescent="0.25">
      <c r="A89" s="109"/>
      <c r="B89" s="781" t="str">
        <f>'SU A0800'!$B$3</f>
        <v>Suspension &amp; Shocks</v>
      </c>
      <c r="C89" s="111" t="str">
        <f>SU_A1300</f>
        <v>SU A1300</v>
      </c>
      <c r="D89" s="111" t="s">
        <v>11</v>
      </c>
      <c r="E89" s="111"/>
      <c r="F89" s="262" t="str">
        <f>'SU A1300'!B4</f>
        <v>Rear Pushrod</v>
      </c>
      <c r="G89" s="111"/>
      <c r="H89" s="112">
        <f t="shared" ref="H89:H91" si="41">SUM(J89:M89)</f>
        <v>9.455417981015044</v>
      </c>
      <c r="I89" s="674">
        <f>SU_A1300_q</f>
        <v>2</v>
      </c>
      <c r="J89" s="113">
        <f>SU_A1300_m</f>
        <v>5</v>
      </c>
      <c r="K89" s="113">
        <f>SU_A1300_p</f>
        <v>3.9700000000000006</v>
      </c>
      <c r="L89" s="113">
        <f>SU_A1300_f</f>
        <v>0.48541798101504374</v>
      </c>
      <c r="M89" s="113">
        <v>0</v>
      </c>
      <c r="N89" s="114">
        <f t="shared" si="40"/>
        <v>18.910835962030088</v>
      </c>
      <c r="O89" s="115"/>
    </row>
    <row r="90" spans="1:15" ht="15" x14ac:dyDescent="0.25">
      <c r="A90" s="116"/>
      <c r="B90" s="781" t="str">
        <f>'SU A0800'!$B$3</f>
        <v>Suspension &amp; Shocks</v>
      </c>
      <c r="C90" s="777" t="str">
        <f>SU_13001</f>
        <v>SU 13001</v>
      </c>
      <c r="D90" s="117" t="s">
        <v>11</v>
      </c>
      <c r="E90" s="117" t="s">
        <v>529</v>
      </c>
      <c r="F90" s="118" t="str">
        <f>'SU 13001'!B5</f>
        <v>Steel cylinder for pushrod</v>
      </c>
      <c r="G90" s="117"/>
      <c r="H90" s="119">
        <f t="shared" si="41"/>
        <v>1.4513899941560895</v>
      </c>
      <c r="I90" s="675">
        <f>SU_13001_q*SU_A1300_q</f>
        <v>2</v>
      </c>
      <c r="J90" s="120">
        <f>SU_13001_m</f>
        <v>0.10138999415608932</v>
      </c>
      <c r="K90" s="120">
        <f>SU_13001_p</f>
        <v>1.35</v>
      </c>
      <c r="L90" s="120">
        <v>0</v>
      </c>
      <c r="M90" s="120">
        <v>0</v>
      </c>
      <c r="N90" s="121">
        <f t="shared" si="40"/>
        <v>2.902779988312179</v>
      </c>
      <c r="O90" s="122"/>
    </row>
    <row r="91" spans="1:15" ht="15.75" thickBot="1" x14ac:dyDescent="0.3">
      <c r="A91" s="116"/>
      <c r="B91" s="781" t="str">
        <f>'[1]SU A1300'!$B$3</f>
        <v>Suspension &amp; Shocks</v>
      </c>
      <c r="C91" s="777" t="str">
        <f>SU_13002</f>
        <v>SU 13002</v>
      </c>
      <c r="D91" s="117" t="s">
        <v>11</v>
      </c>
      <c r="E91" s="117" t="s">
        <v>529</v>
      </c>
      <c r="F91" s="1168" t="str">
        <f>'SU 13002'!B5</f>
        <v>Spacer</v>
      </c>
      <c r="G91" s="117"/>
      <c r="H91" s="119">
        <f t="shared" si="41"/>
        <v>0.36380753801370747</v>
      </c>
      <c r="I91" s="123">
        <f>SU_13002_q*SU_A1300_q</f>
        <v>8</v>
      </c>
      <c r="J91" s="120">
        <f>SU_13002_m</f>
        <v>2.1307538013707415E-2</v>
      </c>
      <c r="K91" s="120">
        <f>SU_13002_p</f>
        <v>0.34250000000000003</v>
      </c>
      <c r="L91" s="120">
        <v>0</v>
      </c>
      <c r="M91" s="120">
        <v>0</v>
      </c>
      <c r="N91" s="121">
        <f t="shared" si="40"/>
        <v>2.9104603041096597</v>
      </c>
      <c r="O91" s="122"/>
    </row>
    <row r="92" spans="1:15" s="12" customFormat="1" ht="15.75" thickTop="1" thickBot="1" x14ac:dyDescent="0.25">
      <c r="A92" s="5"/>
      <c r="B92" s="41" t="str">
        <f>[2]SU_A0200!B3</f>
        <v>Suspension &amp; Shocks</v>
      </c>
      <c r="C92" s="1"/>
      <c r="D92" s="1"/>
      <c r="E92" s="1"/>
      <c r="F92" s="41" t="s">
        <v>59</v>
      </c>
      <c r="G92" s="1"/>
      <c r="H92" s="3"/>
      <c r="I92" s="4"/>
      <c r="J92" s="93">
        <f>SUMPRODUCT($I7:$I91,J7:J91)</f>
        <v>1865.7978751981448</v>
      </c>
      <c r="K92" s="93">
        <f>SUMPRODUCT($I7:$I91,K7:K91)</f>
        <v>924.02871530614379</v>
      </c>
      <c r="L92" s="93">
        <f>SUMPRODUCT($I7:$I91,L7:L91)</f>
        <v>12.840105661655308</v>
      </c>
      <c r="M92" s="93">
        <f>SUMPRODUCT($I7:$I91,M7:M91)</f>
        <v>14.666666666666664</v>
      </c>
      <c r="N92" s="93">
        <f>SUM(N7:N91)</f>
        <v>2817.3333628326109</v>
      </c>
      <c r="O92" s="2"/>
    </row>
    <row r="93" spans="1:15" ht="13.5" thickTop="1" x14ac:dyDescent="0.2">
      <c r="A93" s="11"/>
      <c r="B93" s="42"/>
      <c r="C93" s="13"/>
      <c r="D93" s="13"/>
      <c r="E93" s="13"/>
      <c r="F93" s="13"/>
      <c r="G93" s="13"/>
      <c r="H93" s="8"/>
      <c r="I93" s="13"/>
      <c r="J93" s="13"/>
      <c r="K93" s="13"/>
      <c r="L93" s="13"/>
      <c r="M93" s="13"/>
      <c r="N93" s="13"/>
    </row>
    <row r="94" spans="1:15" x14ac:dyDescent="0.2">
      <c r="A94" s="11"/>
      <c r="B94" s="42"/>
      <c r="C94" s="13"/>
      <c r="D94" s="13"/>
      <c r="E94" s="13"/>
      <c r="F94" s="13"/>
      <c r="G94" s="13"/>
      <c r="H94" s="8"/>
      <c r="I94" s="13"/>
      <c r="J94" s="13"/>
      <c r="K94" s="13"/>
      <c r="L94" s="13"/>
      <c r="M94" s="13"/>
      <c r="N94" s="13"/>
    </row>
    <row r="95" spans="1:15" x14ac:dyDescent="0.2">
      <c r="A95" s="11"/>
      <c r="B95" s="11"/>
      <c r="D95" s="13"/>
      <c r="E95" s="13"/>
      <c r="G95" s="13"/>
      <c r="H95" s="13"/>
      <c r="I95" s="8"/>
      <c r="J95" s="8"/>
      <c r="K95" s="8"/>
      <c r="L95" s="8"/>
      <c r="M95" s="8"/>
      <c r="N95" s="13"/>
    </row>
    <row r="96" spans="1:15" x14ac:dyDescent="0.2">
      <c r="A96" s="11"/>
      <c r="B96" s="11"/>
      <c r="D96" s="13"/>
      <c r="E96" s="13"/>
      <c r="G96" s="13"/>
      <c r="H96" s="13"/>
      <c r="I96" s="8"/>
      <c r="J96" s="8"/>
      <c r="K96" s="8"/>
      <c r="L96" s="8"/>
      <c r="M96" s="8"/>
      <c r="N96" s="45"/>
    </row>
    <row r="97" spans="1:14" x14ac:dyDescent="0.2">
      <c r="A97" s="11"/>
      <c r="B97" s="11"/>
      <c r="D97" s="13"/>
      <c r="E97" s="13"/>
      <c r="G97" s="13"/>
      <c r="H97" s="13"/>
      <c r="I97" s="8"/>
      <c r="J97" s="8"/>
      <c r="K97" s="8"/>
      <c r="L97" s="8"/>
      <c r="M97" s="8"/>
      <c r="N97" s="13"/>
    </row>
    <row r="98" spans="1:14" x14ac:dyDescent="0.2">
      <c r="A98" s="11"/>
      <c r="B98" s="11"/>
      <c r="D98" s="13"/>
      <c r="E98" s="13"/>
      <c r="G98" s="13"/>
      <c r="H98" s="13"/>
      <c r="I98" s="8"/>
      <c r="J98" s="8"/>
      <c r="K98" s="8"/>
      <c r="L98" s="8"/>
      <c r="M98" s="8"/>
      <c r="N98" s="45"/>
    </row>
    <row r="99" spans="1:14" x14ac:dyDescent="0.2">
      <c r="A99" s="11"/>
      <c r="B99" s="11"/>
      <c r="D99" s="13"/>
      <c r="E99" s="13"/>
      <c r="G99" s="13"/>
      <c r="H99" s="13"/>
      <c r="I99" s="8"/>
      <c r="J99" s="8"/>
      <c r="K99" s="8"/>
      <c r="L99" s="8"/>
      <c r="M99" s="8"/>
      <c r="N99" s="13"/>
    </row>
    <row r="100" spans="1:14" x14ac:dyDescent="0.2">
      <c r="A100" s="11"/>
      <c r="B100" s="11"/>
      <c r="D100" s="13"/>
      <c r="E100" s="13"/>
      <c r="G100" s="13"/>
      <c r="H100" s="13"/>
      <c r="I100" s="8"/>
      <c r="J100" s="8"/>
      <c r="K100" s="8"/>
      <c r="L100" s="8"/>
      <c r="M100" s="8"/>
      <c r="N100" s="13"/>
    </row>
    <row r="101" spans="1:14" x14ac:dyDescent="0.2">
      <c r="A101" s="11"/>
      <c r="B101" s="11"/>
      <c r="D101" s="13"/>
      <c r="E101" s="13"/>
      <c r="G101" s="13"/>
      <c r="H101" s="13"/>
      <c r="I101" s="8"/>
      <c r="J101" s="8"/>
      <c r="K101" s="8"/>
      <c r="L101" s="8"/>
      <c r="M101" s="8"/>
      <c r="N101" s="13"/>
    </row>
    <row r="102" spans="1:14" x14ac:dyDescent="0.2">
      <c r="A102" s="11"/>
      <c r="B102" s="11"/>
      <c r="D102" s="13"/>
      <c r="E102" s="13"/>
      <c r="G102" s="13"/>
      <c r="H102" s="13"/>
      <c r="I102" s="8"/>
      <c r="J102" s="8"/>
      <c r="K102" s="8"/>
      <c r="L102" s="8"/>
      <c r="M102" s="8"/>
      <c r="N102" s="13"/>
    </row>
    <row r="103" spans="1:14" x14ac:dyDescent="0.2">
      <c r="A103" s="11"/>
      <c r="B103" s="11"/>
      <c r="D103" s="13"/>
      <c r="E103" s="13"/>
      <c r="G103" s="13"/>
      <c r="H103" s="13"/>
      <c r="I103" s="8"/>
      <c r="J103" s="8"/>
      <c r="K103" s="8"/>
      <c r="L103" s="8"/>
      <c r="M103" s="8"/>
      <c r="N103" s="13"/>
    </row>
    <row r="104" spans="1:14" x14ac:dyDescent="0.2">
      <c r="A104" s="11"/>
      <c r="B104" s="11"/>
      <c r="D104" s="13"/>
      <c r="E104" s="13"/>
      <c r="G104" s="13"/>
      <c r="H104" s="13"/>
      <c r="I104" s="8"/>
      <c r="J104" s="8"/>
      <c r="K104" s="8"/>
      <c r="L104" s="8"/>
      <c r="M104" s="8"/>
      <c r="N104" s="13"/>
    </row>
    <row r="105" spans="1:14" x14ac:dyDescent="0.2">
      <c r="A105" s="11"/>
      <c r="B105" s="11"/>
      <c r="D105" s="13"/>
      <c r="E105" s="13"/>
      <c r="G105" s="13"/>
      <c r="H105" s="13"/>
      <c r="I105" s="8"/>
      <c r="J105" s="8"/>
      <c r="K105" s="8"/>
      <c r="L105" s="8"/>
      <c r="M105" s="8"/>
      <c r="N105" s="13"/>
    </row>
    <row r="106" spans="1:14" x14ac:dyDescent="0.2">
      <c r="A106" s="11"/>
      <c r="B106" s="11"/>
      <c r="D106" s="13"/>
      <c r="E106" s="13"/>
      <c r="G106" s="13"/>
      <c r="H106" s="13"/>
      <c r="I106" s="8"/>
      <c r="J106" s="8"/>
      <c r="K106" s="8"/>
      <c r="L106" s="8"/>
      <c r="M106" s="8"/>
      <c r="N106" s="13"/>
    </row>
    <row r="107" spans="1:14" x14ac:dyDescent="0.2">
      <c r="A107" s="11"/>
      <c r="B107" s="11"/>
      <c r="D107" s="13"/>
      <c r="E107" s="13"/>
      <c r="G107" s="13"/>
      <c r="H107" s="13"/>
      <c r="I107" s="8"/>
      <c r="J107" s="8"/>
      <c r="K107" s="8"/>
      <c r="L107" s="8"/>
      <c r="M107" s="8"/>
      <c r="N107" s="13"/>
    </row>
    <row r="108" spans="1:14" x14ac:dyDescent="0.2">
      <c r="A108" s="11"/>
      <c r="B108" s="11"/>
      <c r="D108" s="13"/>
      <c r="E108" s="13"/>
      <c r="G108" s="13"/>
      <c r="H108" s="13"/>
      <c r="I108" s="8"/>
      <c r="J108" s="8"/>
      <c r="K108" s="8"/>
      <c r="L108" s="8"/>
      <c r="M108" s="8"/>
      <c r="N108" s="13"/>
    </row>
    <row r="109" spans="1:14" x14ac:dyDescent="0.2">
      <c r="A109" s="11"/>
      <c r="B109" s="11"/>
      <c r="D109" s="13"/>
      <c r="E109" s="13"/>
      <c r="G109" s="13"/>
      <c r="H109" s="13"/>
      <c r="I109" s="8"/>
      <c r="J109" s="8"/>
      <c r="K109" s="8"/>
      <c r="L109" s="8"/>
      <c r="M109" s="8"/>
      <c r="N109" s="13"/>
    </row>
    <row r="110" spans="1:14" x14ac:dyDescent="0.2">
      <c r="A110" s="11"/>
      <c r="B110" s="11"/>
      <c r="D110" s="13"/>
      <c r="E110" s="13"/>
      <c r="G110" s="13"/>
      <c r="H110" s="13"/>
      <c r="I110" s="8"/>
      <c r="J110" s="8"/>
      <c r="K110" s="8"/>
      <c r="L110" s="8"/>
      <c r="M110" s="8"/>
      <c r="N110" s="13"/>
    </row>
    <row r="111" spans="1:14" x14ac:dyDescent="0.2">
      <c r="A111" s="11"/>
      <c r="B111" s="11"/>
      <c r="D111" s="13"/>
      <c r="E111" s="13"/>
      <c r="G111" s="13"/>
      <c r="H111" s="13"/>
      <c r="I111" s="8"/>
      <c r="J111" s="8"/>
      <c r="K111" s="8"/>
      <c r="L111" s="8"/>
      <c r="M111" s="8"/>
      <c r="N111" s="13"/>
    </row>
    <row r="112" spans="1:14" x14ac:dyDescent="0.2">
      <c r="A112" s="11"/>
      <c r="B112" s="11"/>
      <c r="D112" s="13"/>
      <c r="E112" s="13"/>
      <c r="G112" s="13"/>
      <c r="H112" s="13"/>
      <c r="I112" s="8"/>
      <c r="J112" s="8"/>
      <c r="K112" s="8"/>
      <c r="L112" s="8"/>
      <c r="M112" s="8"/>
      <c r="N112" s="13"/>
    </row>
    <row r="113" spans="1:14" x14ac:dyDescent="0.2">
      <c r="A113" s="11"/>
      <c r="B113" s="11"/>
      <c r="D113" s="13"/>
      <c r="E113" s="13"/>
      <c r="G113" s="13"/>
      <c r="H113" s="13"/>
      <c r="I113" s="8"/>
      <c r="J113" s="8"/>
      <c r="K113" s="8"/>
      <c r="L113" s="8"/>
      <c r="M113" s="8"/>
      <c r="N113" s="13"/>
    </row>
    <row r="114" spans="1:14" x14ac:dyDescent="0.2">
      <c r="A114" s="11"/>
      <c r="B114" s="11"/>
      <c r="D114" s="13"/>
      <c r="E114" s="13"/>
      <c r="G114" s="13"/>
      <c r="H114" s="13"/>
      <c r="I114" s="8"/>
      <c r="J114" s="8"/>
      <c r="K114" s="8"/>
      <c r="L114" s="8"/>
      <c r="M114" s="8"/>
      <c r="N114" s="13"/>
    </row>
    <row r="115" spans="1:14" x14ac:dyDescent="0.2">
      <c r="A115" s="11"/>
      <c r="B115" s="11"/>
      <c r="D115" s="13"/>
      <c r="E115" s="13"/>
      <c r="G115" s="13"/>
      <c r="H115" s="13"/>
      <c r="I115" s="8"/>
      <c r="J115" s="8"/>
      <c r="K115" s="8"/>
      <c r="L115" s="8"/>
      <c r="M115" s="8"/>
      <c r="N115" s="13"/>
    </row>
    <row r="116" spans="1:14" x14ac:dyDescent="0.2">
      <c r="A116" s="11"/>
      <c r="B116" s="11"/>
      <c r="D116" s="13"/>
      <c r="E116" s="13"/>
      <c r="G116" s="13"/>
      <c r="H116" s="13"/>
      <c r="I116" s="8"/>
      <c r="J116" s="8"/>
      <c r="K116" s="8"/>
      <c r="L116" s="8"/>
      <c r="M116" s="8"/>
      <c r="N116" s="13"/>
    </row>
    <row r="117" spans="1:14" x14ac:dyDescent="0.2">
      <c r="A117" s="11"/>
      <c r="B117" s="11"/>
      <c r="D117" s="13"/>
      <c r="E117" s="13"/>
      <c r="G117" s="13"/>
      <c r="H117" s="13"/>
      <c r="I117" s="8"/>
      <c r="J117" s="8"/>
      <c r="K117" s="8"/>
      <c r="L117" s="8"/>
      <c r="M117" s="8"/>
      <c r="N117" s="13"/>
    </row>
    <row r="118" spans="1:14" x14ac:dyDescent="0.2">
      <c r="A118" s="11"/>
      <c r="B118" s="11"/>
      <c r="D118" s="13"/>
      <c r="E118" s="13"/>
      <c r="G118" s="13"/>
      <c r="H118" s="13"/>
      <c r="I118" s="8"/>
      <c r="J118" s="8"/>
      <c r="K118" s="8"/>
      <c r="L118" s="8"/>
      <c r="M118" s="8"/>
      <c r="N118" s="13"/>
    </row>
    <row r="119" spans="1:14" x14ac:dyDescent="0.2">
      <c r="A119" s="11"/>
      <c r="B119" s="11"/>
      <c r="D119" s="13"/>
      <c r="E119" s="13"/>
      <c r="G119" s="13"/>
      <c r="H119" s="13"/>
      <c r="I119" s="8"/>
      <c r="J119" s="8"/>
      <c r="K119" s="8"/>
      <c r="L119" s="8"/>
      <c r="M119" s="8"/>
      <c r="N119" s="13"/>
    </row>
    <row r="120" spans="1:14" x14ac:dyDescent="0.2">
      <c r="A120" s="11"/>
      <c r="B120" s="11"/>
      <c r="D120" s="13"/>
      <c r="E120" s="13"/>
      <c r="G120" s="13"/>
      <c r="H120" s="13"/>
      <c r="I120" s="8"/>
      <c r="J120" s="8"/>
      <c r="K120" s="8"/>
      <c r="L120" s="8"/>
      <c r="M120" s="8"/>
      <c r="N120" s="13"/>
    </row>
    <row r="121" spans="1:14" x14ac:dyDescent="0.2">
      <c r="A121" s="11"/>
      <c r="B121" s="11"/>
      <c r="D121" s="13"/>
      <c r="E121" s="13"/>
      <c r="G121" s="13"/>
      <c r="H121" s="13"/>
      <c r="I121" s="8"/>
      <c r="J121" s="8"/>
      <c r="K121" s="8"/>
      <c r="L121" s="8"/>
      <c r="M121" s="8"/>
      <c r="N121" s="13"/>
    </row>
    <row r="122" spans="1:14" x14ac:dyDescent="0.2">
      <c r="A122" s="11"/>
      <c r="B122" s="11"/>
      <c r="D122" s="13"/>
      <c r="E122" s="13"/>
      <c r="G122" s="13"/>
      <c r="H122" s="13"/>
      <c r="I122" s="8"/>
      <c r="J122" s="8"/>
      <c r="K122" s="8"/>
      <c r="L122" s="8"/>
      <c r="M122" s="8"/>
      <c r="N122" s="13"/>
    </row>
    <row r="123" spans="1:14" s="9" customFormat="1" x14ac:dyDescent="0.2">
      <c r="A123" s="7"/>
      <c r="B123" s="11"/>
      <c r="F123" s="42"/>
      <c r="I123" s="6"/>
      <c r="J123" s="6"/>
      <c r="K123" s="6"/>
      <c r="L123" s="6"/>
      <c r="M123" s="6"/>
    </row>
    <row r="124" spans="1:14" s="9" customFormat="1" x14ac:dyDescent="0.2">
      <c r="A124" s="7"/>
      <c r="B124" s="11"/>
      <c r="F124" s="42"/>
      <c r="I124" s="6"/>
      <c r="J124" s="6"/>
      <c r="K124" s="6"/>
      <c r="L124" s="6"/>
      <c r="M124" s="6"/>
    </row>
    <row r="125" spans="1:14" s="9" customFormat="1" x14ac:dyDescent="0.2">
      <c r="A125" s="7"/>
      <c r="B125" s="11"/>
      <c r="F125" s="42"/>
      <c r="I125" s="6"/>
      <c r="J125" s="6"/>
      <c r="K125" s="6"/>
      <c r="L125" s="6"/>
      <c r="M125" s="6"/>
    </row>
    <row r="126" spans="1:14" s="9" customFormat="1" x14ac:dyDescent="0.2">
      <c r="A126" s="7"/>
      <c r="B126" s="11"/>
      <c r="F126" s="42"/>
      <c r="I126" s="6"/>
      <c r="J126" s="6"/>
      <c r="K126" s="6"/>
      <c r="L126" s="6"/>
      <c r="M126" s="6"/>
    </row>
    <row r="127" spans="1:14" s="9" customFormat="1" x14ac:dyDescent="0.2">
      <c r="A127" s="7"/>
      <c r="B127" s="11"/>
      <c r="F127" s="42"/>
      <c r="I127" s="6"/>
      <c r="J127" s="6"/>
      <c r="K127" s="6"/>
      <c r="L127" s="6"/>
      <c r="M127" s="6"/>
    </row>
    <row r="128" spans="1:14" s="9" customFormat="1" x14ac:dyDescent="0.2">
      <c r="A128" s="7"/>
      <c r="B128" s="11"/>
      <c r="F128" s="42"/>
      <c r="I128" s="6"/>
      <c r="J128" s="6"/>
      <c r="K128" s="6"/>
      <c r="L128" s="6"/>
      <c r="M128" s="6"/>
    </row>
    <row r="129" spans="1:14" s="9" customFormat="1" x14ac:dyDescent="0.2">
      <c r="A129" s="7"/>
      <c r="B129" s="11"/>
      <c r="F129" s="42"/>
      <c r="I129" s="6"/>
      <c r="J129" s="6"/>
      <c r="K129" s="6"/>
      <c r="L129" s="6"/>
      <c r="M129" s="6"/>
    </row>
    <row r="130" spans="1:14" s="9" customFormat="1" x14ac:dyDescent="0.2">
      <c r="A130" s="7"/>
      <c r="B130" s="11"/>
      <c r="F130" s="42"/>
      <c r="I130" s="6"/>
      <c r="J130" s="6"/>
      <c r="K130" s="6"/>
      <c r="L130" s="6"/>
      <c r="M130" s="6"/>
    </row>
    <row r="131" spans="1:14" s="9" customFormat="1" x14ac:dyDescent="0.2">
      <c r="A131" s="7"/>
      <c r="B131" s="11"/>
      <c r="F131" s="42"/>
      <c r="I131" s="6"/>
      <c r="J131" s="6"/>
      <c r="K131" s="6"/>
      <c r="L131" s="6"/>
      <c r="M131" s="6"/>
    </row>
    <row r="132" spans="1:14" s="9" customFormat="1" x14ac:dyDescent="0.2">
      <c r="A132" s="7"/>
      <c r="B132" s="11"/>
      <c r="F132" s="42"/>
      <c r="I132" s="6"/>
      <c r="J132" s="6"/>
      <c r="K132" s="6"/>
      <c r="L132" s="6"/>
      <c r="M132" s="6"/>
    </row>
    <row r="133" spans="1:14" s="10" customFormat="1" x14ac:dyDescent="0.2">
      <c r="A133" s="7"/>
      <c r="B133" s="11"/>
      <c r="C133" s="9"/>
      <c r="D133" s="9"/>
      <c r="E133" s="9"/>
      <c r="F133" s="42"/>
      <c r="G133" s="9"/>
      <c r="H133" s="9"/>
      <c r="I133" s="6"/>
      <c r="J133" s="6"/>
      <c r="K133" s="6"/>
      <c r="L133" s="6"/>
      <c r="M133" s="6"/>
      <c r="N133" s="9"/>
    </row>
    <row r="134" spans="1:14" s="10" customFormat="1" x14ac:dyDescent="0.2">
      <c r="A134" s="7"/>
      <c r="B134" s="11"/>
      <c r="C134" s="9"/>
      <c r="D134" s="9"/>
      <c r="E134" s="9"/>
      <c r="F134" s="42"/>
      <c r="G134" s="9"/>
      <c r="H134" s="9"/>
      <c r="I134" s="6"/>
      <c r="J134" s="6"/>
      <c r="K134" s="6"/>
      <c r="L134" s="6"/>
      <c r="M134" s="6"/>
      <c r="N134" s="9"/>
    </row>
    <row r="135" spans="1:14" s="10" customFormat="1" x14ac:dyDescent="0.2">
      <c r="A135" s="7"/>
      <c r="B135" s="11"/>
      <c r="C135" s="9"/>
      <c r="D135" s="9"/>
      <c r="E135" s="9"/>
      <c r="F135" s="42"/>
      <c r="G135" s="9"/>
      <c r="H135" s="9"/>
      <c r="I135" s="6"/>
      <c r="J135" s="6"/>
      <c r="K135" s="6"/>
      <c r="L135" s="6"/>
      <c r="M135" s="6"/>
      <c r="N135" s="9"/>
    </row>
    <row r="136" spans="1:14" s="10" customFormat="1" x14ac:dyDescent="0.2">
      <c r="A136" s="7"/>
      <c r="B136" s="11"/>
      <c r="C136" s="9"/>
      <c r="D136" s="9"/>
      <c r="E136" s="9"/>
      <c r="F136" s="42"/>
      <c r="G136" s="9"/>
      <c r="H136" s="9"/>
      <c r="I136" s="6"/>
      <c r="J136" s="6"/>
      <c r="K136" s="6"/>
      <c r="L136" s="6"/>
      <c r="M136" s="6"/>
      <c r="N136" s="9"/>
    </row>
    <row r="137" spans="1:14" s="10" customFormat="1" x14ac:dyDescent="0.2">
      <c r="A137" s="7"/>
      <c r="B137" s="11"/>
      <c r="C137" s="9"/>
      <c r="D137" s="9"/>
      <c r="E137" s="9"/>
      <c r="F137" s="42"/>
      <c r="G137" s="9"/>
      <c r="H137" s="9"/>
      <c r="I137" s="6"/>
      <c r="J137" s="6"/>
      <c r="K137" s="6"/>
      <c r="L137" s="6"/>
      <c r="M137" s="6"/>
      <c r="N137" s="9"/>
    </row>
    <row r="138" spans="1:14" s="10" customFormat="1" x14ac:dyDescent="0.2">
      <c r="A138" s="7"/>
      <c r="B138" s="11"/>
      <c r="C138" s="9"/>
      <c r="D138" s="9"/>
      <c r="E138" s="9"/>
      <c r="F138" s="42"/>
      <c r="G138" s="9"/>
      <c r="H138" s="9"/>
      <c r="I138" s="6"/>
      <c r="J138" s="6"/>
      <c r="K138" s="6"/>
      <c r="L138" s="6"/>
      <c r="M138" s="6"/>
      <c r="N138" s="9"/>
    </row>
    <row r="139" spans="1:14" s="10" customFormat="1" x14ac:dyDescent="0.2">
      <c r="A139" s="7"/>
      <c r="B139" s="11"/>
      <c r="C139" s="9"/>
      <c r="D139" s="9"/>
      <c r="E139" s="9"/>
      <c r="F139" s="42"/>
      <c r="G139" s="9"/>
      <c r="H139" s="9"/>
      <c r="I139" s="6"/>
      <c r="J139" s="6"/>
      <c r="K139" s="6"/>
      <c r="L139" s="6"/>
      <c r="M139" s="6"/>
      <c r="N139" s="9"/>
    </row>
    <row r="140" spans="1:14" s="10" customFormat="1" x14ac:dyDescent="0.2">
      <c r="A140" s="7"/>
      <c r="B140" s="11"/>
      <c r="C140" s="9"/>
      <c r="D140" s="9"/>
      <c r="E140" s="9"/>
      <c r="F140" s="42"/>
      <c r="G140" s="9"/>
      <c r="H140" s="9"/>
      <c r="I140" s="6"/>
      <c r="J140" s="6"/>
      <c r="K140" s="6"/>
      <c r="L140" s="6"/>
      <c r="M140" s="6"/>
      <c r="N140" s="9"/>
    </row>
    <row r="141" spans="1:14" s="10" customFormat="1" x14ac:dyDescent="0.2">
      <c r="A141" s="7"/>
      <c r="B141" s="11"/>
      <c r="C141" s="9"/>
      <c r="D141" s="9"/>
      <c r="E141" s="9"/>
      <c r="F141" s="42"/>
      <c r="G141" s="9"/>
      <c r="H141" s="9"/>
      <c r="I141" s="6"/>
      <c r="J141" s="6"/>
      <c r="K141" s="6"/>
      <c r="L141" s="6"/>
      <c r="M141" s="6"/>
      <c r="N141" s="9"/>
    </row>
    <row r="142" spans="1:14" s="10" customFormat="1" x14ac:dyDescent="0.2">
      <c r="A142" s="7"/>
      <c r="B142" s="11"/>
      <c r="C142" s="9"/>
      <c r="D142" s="9"/>
      <c r="E142" s="9"/>
      <c r="F142" s="42"/>
      <c r="G142" s="9"/>
      <c r="H142" s="9"/>
      <c r="I142" s="6"/>
      <c r="J142" s="6"/>
      <c r="K142" s="6"/>
      <c r="L142" s="6"/>
      <c r="M142" s="6"/>
      <c r="N142" s="9"/>
    </row>
    <row r="143" spans="1:14" s="10" customFormat="1" x14ac:dyDescent="0.2">
      <c r="A143" s="7"/>
      <c r="B143" s="11"/>
      <c r="C143" s="9"/>
      <c r="D143" s="9"/>
      <c r="E143" s="9"/>
      <c r="F143" s="42"/>
      <c r="G143" s="9"/>
      <c r="H143" s="9"/>
      <c r="I143" s="6"/>
      <c r="J143" s="6"/>
      <c r="K143" s="6"/>
      <c r="L143" s="6"/>
      <c r="M143" s="6"/>
      <c r="N143" s="9"/>
    </row>
    <row r="144" spans="1:14" s="10" customFormat="1" x14ac:dyDescent="0.2">
      <c r="A144" s="7"/>
      <c r="B144" s="11"/>
      <c r="C144" s="9"/>
      <c r="D144" s="9"/>
      <c r="E144" s="9"/>
      <c r="F144" s="42"/>
      <c r="G144" s="9"/>
      <c r="H144" s="9"/>
      <c r="I144" s="6"/>
      <c r="J144" s="6"/>
      <c r="K144" s="6"/>
      <c r="L144" s="6"/>
      <c r="M144" s="6"/>
      <c r="N144" s="9"/>
    </row>
    <row r="145" spans="1:14" s="10" customFormat="1" x14ac:dyDescent="0.2">
      <c r="A145" s="7"/>
      <c r="B145" s="11"/>
      <c r="C145" s="9"/>
      <c r="D145" s="9"/>
      <c r="E145" s="9"/>
      <c r="F145" s="42"/>
      <c r="G145" s="9"/>
      <c r="H145" s="9"/>
      <c r="I145" s="6"/>
      <c r="J145" s="6"/>
      <c r="K145" s="6"/>
      <c r="L145" s="6"/>
      <c r="M145" s="6"/>
      <c r="N145" s="9"/>
    </row>
    <row r="146" spans="1:14" s="10" customFormat="1" x14ac:dyDescent="0.2">
      <c r="A146" s="7"/>
      <c r="B146" s="11"/>
      <c r="C146" s="9"/>
      <c r="D146" s="9"/>
      <c r="E146" s="9"/>
      <c r="F146" s="42"/>
      <c r="G146" s="9"/>
      <c r="H146" s="9"/>
      <c r="I146" s="6"/>
      <c r="J146" s="6"/>
      <c r="K146" s="6"/>
      <c r="L146" s="6"/>
      <c r="M146" s="6"/>
      <c r="N146" s="9"/>
    </row>
    <row r="147" spans="1:14" s="10" customFormat="1" x14ac:dyDescent="0.2">
      <c r="A147" s="7"/>
      <c r="B147" s="11"/>
      <c r="C147" s="9"/>
      <c r="D147" s="9"/>
      <c r="E147" s="9"/>
      <c r="F147" s="42"/>
      <c r="G147" s="9"/>
      <c r="H147" s="9"/>
      <c r="I147" s="6"/>
      <c r="J147" s="6"/>
      <c r="K147" s="6"/>
      <c r="L147" s="6"/>
      <c r="M147" s="6"/>
      <c r="N147" s="9"/>
    </row>
    <row r="148" spans="1:14" s="10" customFormat="1" x14ac:dyDescent="0.2">
      <c r="A148" s="7"/>
      <c r="B148" s="11"/>
      <c r="C148" s="9"/>
      <c r="D148" s="9"/>
      <c r="E148" s="9"/>
      <c r="F148" s="42"/>
      <c r="G148" s="9"/>
      <c r="H148" s="9"/>
      <c r="I148" s="6"/>
      <c r="J148" s="6"/>
      <c r="K148" s="6"/>
      <c r="L148" s="6"/>
      <c r="M148" s="6"/>
      <c r="N148" s="9"/>
    </row>
    <row r="149" spans="1:14" s="10" customFormat="1" x14ac:dyDescent="0.2">
      <c r="A149" s="7"/>
      <c r="B149" s="11"/>
      <c r="C149" s="9"/>
      <c r="D149" s="9"/>
      <c r="E149" s="9"/>
      <c r="F149" s="42"/>
      <c r="G149" s="9"/>
      <c r="H149" s="9"/>
      <c r="I149" s="6"/>
      <c r="J149" s="6"/>
      <c r="K149" s="6"/>
      <c r="L149" s="6"/>
      <c r="M149" s="6"/>
      <c r="N149" s="9"/>
    </row>
    <row r="150" spans="1:14" s="10" customFormat="1" x14ac:dyDescent="0.2">
      <c r="A150" s="7"/>
      <c r="B150" s="11"/>
      <c r="C150" s="9"/>
      <c r="D150" s="9"/>
      <c r="E150" s="9"/>
      <c r="F150" s="42"/>
      <c r="G150" s="9"/>
      <c r="H150" s="9"/>
      <c r="I150" s="6"/>
      <c r="J150" s="6"/>
      <c r="K150" s="6"/>
      <c r="L150" s="6"/>
      <c r="M150" s="6"/>
      <c r="N150" s="9"/>
    </row>
    <row r="151" spans="1:14" s="10" customFormat="1" x14ac:dyDescent="0.2">
      <c r="A151" s="7"/>
      <c r="B151" s="11"/>
      <c r="C151" s="9"/>
      <c r="D151" s="9"/>
      <c r="E151" s="9"/>
      <c r="F151" s="42"/>
      <c r="G151" s="9"/>
      <c r="H151" s="9"/>
      <c r="I151" s="6"/>
      <c r="J151" s="6"/>
      <c r="K151" s="6"/>
      <c r="L151" s="6"/>
      <c r="M151" s="6"/>
      <c r="N151" s="9"/>
    </row>
    <row r="152" spans="1:14" s="10" customFormat="1" x14ac:dyDescent="0.2">
      <c r="A152" s="7"/>
      <c r="B152" s="11"/>
      <c r="C152" s="9"/>
      <c r="D152" s="9"/>
      <c r="E152" s="9"/>
      <c r="F152" s="42"/>
      <c r="G152" s="9"/>
      <c r="H152" s="9"/>
      <c r="I152" s="6"/>
      <c r="J152" s="6"/>
      <c r="K152" s="6"/>
      <c r="L152" s="6"/>
      <c r="M152" s="6"/>
      <c r="N152" s="9"/>
    </row>
    <row r="153" spans="1:14" s="10" customFormat="1" x14ac:dyDescent="0.2">
      <c r="A153" s="7"/>
      <c r="B153" s="11"/>
      <c r="C153" s="9"/>
      <c r="D153" s="9"/>
      <c r="E153" s="9"/>
      <c r="F153" s="42"/>
      <c r="G153" s="9"/>
      <c r="H153" s="9"/>
      <c r="I153" s="6"/>
      <c r="J153" s="6"/>
      <c r="K153" s="6"/>
      <c r="L153" s="6"/>
      <c r="M153" s="6"/>
      <c r="N153" s="9"/>
    </row>
    <row r="154" spans="1:14" s="10" customFormat="1" x14ac:dyDescent="0.2">
      <c r="A154" s="7"/>
      <c r="B154" s="11"/>
      <c r="C154" s="9"/>
      <c r="D154" s="9"/>
      <c r="E154" s="9"/>
      <c r="F154" s="42"/>
      <c r="G154" s="9"/>
      <c r="H154" s="9"/>
      <c r="I154" s="6"/>
      <c r="J154" s="6"/>
      <c r="K154" s="6"/>
      <c r="L154" s="6"/>
      <c r="M154" s="6"/>
      <c r="N154" s="9"/>
    </row>
    <row r="155" spans="1:14" s="10" customFormat="1" x14ac:dyDescent="0.2">
      <c r="A155" s="7"/>
      <c r="B155" s="11"/>
      <c r="C155" s="9"/>
      <c r="D155" s="9"/>
      <c r="E155" s="9"/>
      <c r="F155" s="42"/>
      <c r="G155" s="9"/>
      <c r="H155" s="9"/>
      <c r="I155" s="6"/>
      <c r="J155" s="6"/>
      <c r="K155" s="6"/>
      <c r="L155" s="6"/>
      <c r="M155" s="6"/>
      <c r="N155" s="9"/>
    </row>
    <row r="156" spans="1:14" s="10" customFormat="1" x14ac:dyDescent="0.2">
      <c r="A156" s="7"/>
      <c r="B156" s="11"/>
      <c r="C156" s="9"/>
      <c r="D156" s="9"/>
      <c r="E156" s="9"/>
      <c r="F156" s="42"/>
      <c r="G156" s="9"/>
      <c r="H156" s="9"/>
      <c r="I156" s="6"/>
      <c r="J156" s="6"/>
      <c r="K156" s="6"/>
      <c r="L156" s="6"/>
      <c r="M156" s="6"/>
      <c r="N156" s="9"/>
    </row>
    <row r="157" spans="1:14" s="10" customFormat="1" x14ac:dyDescent="0.2">
      <c r="A157" s="7"/>
      <c r="B157" s="11"/>
      <c r="C157" s="9"/>
      <c r="D157" s="9"/>
      <c r="E157" s="9"/>
      <c r="F157" s="42"/>
      <c r="G157" s="9"/>
      <c r="H157" s="9"/>
      <c r="I157" s="6"/>
      <c r="J157" s="6"/>
      <c r="K157" s="6"/>
      <c r="L157" s="6"/>
      <c r="M157" s="6"/>
      <c r="N157" s="9"/>
    </row>
    <row r="158" spans="1:14" s="10" customFormat="1" x14ac:dyDescent="0.2">
      <c r="A158" s="7"/>
      <c r="B158" s="11"/>
      <c r="C158" s="9"/>
      <c r="D158" s="9"/>
      <c r="E158" s="9"/>
      <c r="F158" s="42"/>
      <c r="G158" s="9"/>
      <c r="H158" s="9"/>
      <c r="I158" s="6"/>
      <c r="J158" s="6"/>
      <c r="K158" s="6"/>
      <c r="L158" s="6"/>
      <c r="M158" s="6"/>
      <c r="N158" s="9"/>
    </row>
    <row r="159" spans="1:14" s="10" customFormat="1" x14ac:dyDescent="0.2">
      <c r="A159" s="7"/>
      <c r="B159" s="11"/>
      <c r="C159" s="9"/>
      <c r="D159" s="9"/>
      <c r="E159" s="9"/>
      <c r="F159" s="42"/>
      <c r="G159" s="9"/>
      <c r="H159" s="9"/>
      <c r="I159" s="6"/>
      <c r="J159" s="6"/>
      <c r="K159" s="6"/>
      <c r="L159" s="6"/>
      <c r="M159" s="6"/>
      <c r="N159" s="9"/>
    </row>
    <row r="160" spans="1:14" s="10" customFormat="1" x14ac:dyDescent="0.2">
      <c r="A160" s="7"/>
      <c r="B160" s="11"/>
      <c r="C160" s="9"/>
      <c r="D160" s="9"/>
      <c r="E160" s="9"/>
      <c r="F160" s="42"/>
      <c r="G160" s="9"/>
      <c r="H160" s="9"/>
      <c r="I160" s="6"/>
      <c r="J160" s="6"/>
      <c r="K160" s="6"/>
      <c r="L160" s="6"/>
      <c r="M160" s="6"/>
      <c r="N160" s="9"/>
    </row>
    <row r="161" spans="1:14" s="10" customFormat="1" x14ac:dyDescent="0.2">
      <c r="A161" s="7"/>
      <c r="B161" s="11"/>
      <c r="C161" s="9"/>
      <c r="D161" s="9"/>
      <c r="E161" s="9"/>
      <c r="F161" s="42"/>
      <c r="G161" s="9"/>
      <c r="H161" s="9"/>
      <c r="I161" s="6"/>
      <c r="J161" s="6"/>
      <c r="K161" s="6"/>
      <c r="L161" s="6"/>
      <c r="M161" s="6"/>
      <c r="N161" s="9"/>
    </row>
    <row r="162" spans="1:14" s="10" customFormat="1" x14ac:dyDescent="0.2">
      <c r="A162" s="7"/>
      <c r="B162" s="11"/>
      <c r="C162" s="9"/>
      <c r="D162" s="9"/>
      <c r="E162" s="9"/>
      <c r="F162" s="42"/>
      <c r="G162" s="9"/>
      <c r="H162" s="9"/>
      <c r="I162" s="6"/>
      <c r="J162" s="6"/>
      <c r="K162" s="6"/>
      <c r="L162" s="6"/>
      <c r="M162" s="6"/>
      <c r="N162" s="9"/>
    </row>
    <row r="163" spans="1:14" s="10" customFormat="1" x14ac:dyDescent="0.2">
      <c r="A163" s="7"/>
      <c r="B163" s="11"/>
      <c r="C163" s="9"/>
      <c r="D163" s="9"/>
      <c r="E163" s="9"/>
      <c r="F163" s="42"/>
      <c r="G163" s="9"/>
      <c r="H163" s="9"/>
      <c r="I163" s="6"/>
      <c r="J163" s="6"/>
      <c r="K163" s="6"/>
      <c r="L163" s="6"/>
      <c r="M163" s="6"/>
      <c r="N163" s="9"/>
    </row>
    <row r="164" spans="1:14" s="10" customFormat="1" x14ac:dyDescent="0.2">
      <c r="A164" s="7"/>
      <c r="B164" s="11"/>
      <c r="C164" s="9"/>
      <c r="D164" s="9"/>
      <c r="E164" s="9"/>
      <c r="F164" s="42"/>
      <c r="G164" s="9"/>
      <c r="H164" s="9"/>
      <c r="I164" s="6"/>
      <c r="J164" s="6"/>
      <c r="K164" s="6"/>
      <c r="L164" s="6"/>
      <c r="M164" s="6"/>
      <c r="N164" s="9"/>
    </row>
    <row r="165" spans="1:14" s="10" customFormat="1" x14ac:dyDescent="0.2">
      <c r="A165" s="7"/>
      <c r="B165" s="11"/>
      <c r="C165" s="9"/>
      <c r="D165" s="9"/>
      <c r="E165" s="9"/>
      <c r="F165" s="42"/>
      <c r="G165" s="9"/>
      <c r="H165" s="9"/>
      <c r="I165" s="6"/>
      <c r="J165" s="6"/>
      <c r="K165" s="6"/>
      <c r="L165" s="6"/>
      <c r="M165" s="6"/>
      <c r="N165" s="9"/>
    </row>
    <row r="166" spans="1:14" s="10" customFormat="1" x14ac:dyDescent="0.2">
      <c r="A166" s="7"/>
      <c r="B166" s="11"/>
      <c r="C166" s="9"/>
      <c r="D166" s="9"/>
      <c r="E166" s="9"/>
      <c r="F166" s="42"/>
      <c r="G166" s="9"/>
      <c r="H166" s="9"/>
      <c r="I166" s="6"/>
      <c r="J166" s="6"/>
      <c r="K166" s="6"/>
      <c r="L166" s="6"/>
      <c r="M166" s="6"/>
      <c r="N166" s="9"/>
    </row>
    <row r="167" spans="1:14" s="10" customFormat="1" x14ac:dyDescent="0.2">
      <c r="A167" s="7"/>
      <c r="B167" s="11"/>
      <c r="C167" s="9"/>
      <c r="D167" s="9"/>
      <c r="E167" s="9"/>
      <c r="F167" s="42"/>
      <c r="G167" s="9"/>
      <c r="H167" s="9"/>
      <c r="I167" s="6"/>
      <c r="J167" s="6"/>
      <c r="K167" s="6"/>
      <c r="L167" s="6"/>
      <c r="M167" s="6"/>
      <c r="N167" s="9"/>
    </row>
    <row r="168" spans="1:14" s="10" customFormat="1" x14ac:dyDescent="0.2">
      <c r="A168" s="7"/>
      <c r="B168" s="11"/>
      <c r="C168" s="9"/>
      <c r="D168" s="9"/>
      <c r="E168" s="9"/>
      <c r="F168" s="42"/>
      <c r="G168" s="9"/>
      <c r="H168" s="9"/>
      <c r="I168" s="6"/>
      <c r="J168" s="6"/>
      <c r="K168" s="6"/>
      <c r="L168" s="6"/>
      <c r="M168" s="6"/>
      <c r="N168" s="9"/>
    </row>
    <row r="169" spans="1:14" s="10" customFormat="1" x14ac:dyDescent="0.2">
      <c r="A169" s="7"/>
      <c r="B169" s="11"/>
      <c r="C169" s="9"/>
      <c r="D169" s="9"/>
      <c r="E169" s="9"/>
      <c r="F169" s="42"/>
      <c r="G169" s="9"/>
      <c r="H169" s="9"/>
      <c r="I169" s="6"/>
      <c r="J169" s="6"/>
      <c r="K169" s="6"/>
      <c r="L169" s="6"/>
      <c r="M169" s="6"/>
      <c r="N169" s="9"/>
    </row>
    <row r="170" spans="1:14" s="10" customFormat="1" x14ac:dyDescent="0.2">
      <c r="A170" s="7"/>
      <c r="B170" s="11"/>
      <c r="C170" s="9"/>
      <c r="D170" s="9"/>
      <c r="E170" s="9"/>
      <c r="F170" s="42"/>
      <c r="G170" s="9"/>
      <c r="H170" s="9"/>
      <c r="I170" s="6"/>
      <c r="J170" s="6"/>
      <c r="K170" s="6"/>
      <c r="L170" s="6"/>
      <c r="M170" s="6"/>
      <c r="N170" s="9"/>
    </row>
    <row r="171" spans="1:14" s="10" customFormat="1" x14ac:dyDescent="0.2">
      <c r="A171" s="7"/>
      <c r="B171" s="11"/>
      <c r="C171" s="9"/>
      <c r="D171" s="9"/>
      <c r="E171" s="9"/>
      <c r="F171" s="42"/>
      <c r="G171" s="9"/>
      <c r="H171" s="9"/>
      <c r="I171" s="6"/>
      <c r="J171" s="6"/>
      <c r="K171" s="6"/>
      <c r="L171" s="6"/>
      <c r="M171" s="6"/>
      <c r="N171" s="9"/>
    </row>
    <row r="172" spans="1:14" s="10" customFormat="1" x14ac:dyDescent="0.2">
      <c r="A172" s="7"/>
      <c r="B172" s="11"/>
      <c r="C172" s="9"/>
      <c r="D172" s="9"/>
      <c r="E172" s="9"/>
      <c r="F172" s="42"/>
      <c r="G172" s="9"/>
      <c r="H172" s="9"/>
      <c r="I172" s="6"/>
      <c r="J172" s="6"/>
      <c r="K172" s="6"/>
      <c r="L172" s="6"/>
      <c r="M172" s="6"/>
      <c r="N172" s="9"/>
    </row>
    <row r="173" spans="1:14" s="10" customFormat="1" x14ac:dyDescent="0.2">
      <c r="A173" s="7"/>
      <c r="B173" s="11"/>
      <c r="C173" s="9"/>
      <c r="D173" s="9"/>
      <c r="E173" s="9"/>
      <c r="F173" s="42"/>
      <c r="G173" s="9"/>
      <c r="H173" s="9"/>
      <c r="I173" s="6"/>
      <c r="J173" s="6"/>
      <c r="K173" s="6"/>
      <c r="L173" s="6"/>
      <c r="M173" s="6"/>
      <c r="N173" s="9"/>
    </row>
    <row r="174" spans="1:14" s="10" customFormat="1" x14ac:dyDescent="0.2">
      <c r="A174" s="7"/>
      <c r="B174" s="11"/>
      <c r="C174" s="9"/>
      <c r="D174" s="9"/>
      <c r="E174" s="9"/>
      <c r="F174" s="42"/>
      <c r="G174" s="9"/>
      <c r="H174" s="9"/>
      <c r="I174" s="6"/>
      <c r="J174" s="6"/>
      <c r="K174" s="6"/>
      <c r="L174" s="6"/>
      <c r="M174" s="6"/>
      <c r="N174" s="9"/>
    </row>
    <row r="175" spans="1:14" s="10" customFormat="1" x14ac:dyDescent="0.2">
      <c r="A175" s="7"/>
      <c r="B175" s="11"/>
      <c r="C175" s="9"/>
      <c r="D175" s="9"/>
      <c r="E175" s="9"/>
      <c r="F175" s="42"/>
      <c r="G175" s="9"/>
      <c r="H175" s="9"/>
      <c r="I175" s="6"/>
      <c r="J175" s="6"/>
      <c r="K175" s="6"/>
      <c r="L175" s="6"/>
      <c r="M175" s="6"/>
      <c r="N175" s="9"/>
    </row>
    <row r="176" spans="1:14" s="10" customFormat="1" x14ac:dyDescent="0.2">
      <c r="A176" s="7"/>
      <c r="B176" s="11"/>
      <c r="C176" s="9"/>
      <c r="D176" s="9"/>
      <c r="E176" s="9"/>
      <c r="F176" s="42"/>
      <c r="G176" s="9"/>
      <c r="H176" s="9"/>
      <c r="I176" s="6"/>
      <c r="J176" s="6"/>
      <c r="K176" s="6"/>
      <c r="L176" s="6"/>
      <c r="M176" s="6"/>
      <c r="N176" s="9"/>
    </row>
    <row r="177" spans="1:14" s="10" customFormat="1" x14ac:dyDescent="0.2">
      <c r="A177" s="7"/>
      <c r="B177" s="11"/>
      <c r="C177" s="9"/>
      <c r="D177" s="9"/>
      <c r="E177" s="9"/>
      <c r="F177" s="42"/>
      <c r="G177" s="9"/>
      <c r="H177" s="9"/>
      <c r="I177" s="6"/>
      <c r="J177" s="6"/>
      <c r="K177" s="6"/>
      <c r="L177" s="6"/>
      <c r="M177" s="6"/>
      <c r="N177" s="9"/>
    </row>
    <row r="178" spans="1:14" s="10" customFormat="1" x14ac:dyDescent="0.2">
      <c r="A178" s="7"/>
      <c r="B178" s="11"/>
      <c r="C178" s="9"/>
      <c r="D178" s="9"/>
      <c r="E178" s="9"/>
      <c r="F178" s="42"/>
      <c r="G178" s="9"/>
      <c r="H178" s="9"/>
      <c r="I178" s="6"/>
      <c r="J178" s="6"/>
      <c r="K178" s="6"/>
      <c r="L178" s="6"/>
      <c r="M178" s="6"/>
      <c r="N178" s="9"/>
    </row>
    <row r="179" spans="1:14" s="10" customFormat="1" x14ac:dyDescent="0.2">
      <c r="A179" s="7"/>
      <c r="B179" s="11"/>
      <c r="C179" s="9"/>
      <c r="D179" s="9"/>
      <c r="E179" s="9"/>
      <c r="F179" s="42"/>
      <c r="G179" s="9"/>
      <c r="H179" s="9"/>
      <c r="I179" s="6"/>
      <c r="J179" s="6"/>
      <c r="K179" s="6"/>
      <c r="L179" s="6"/>
      <c r="M179" s="6"/>
      <c r="N179" s="9"/>
    </row>
    <row r="180" spans="1:14" s="10" customFormat="1" x14ac:dyDescent="0.2">
      <c r="A180" s="7"/>
      <c r="B180" s="11"/>
      <c r="C180" s="9"/>
      <c r="D180" s="9"/>
      <c r="E180" s="9"/>
      <c r="F180" s="42"/>
      <c r="G180" s="9"/>
      <c r="H180" s="9"/>
      <c r="I180" s="6"/>
      <c r="J180" s="6"/>
      <c r="K180" s="6"/>
      <c r="L180" s="6"/>
      <c r="M180" s="6"/>
      <c r="N180" s="9"/>
    </row>
    <row r="181" spans="1:14" s="10" customFormat="1" x14ac:dyDescent="0.2">
      <c r="A181" s="7"/>
      <c r="B181" s="11"/>
      <c r="C181" s="9"/>
      <c r="D181" s="9"/>
      <c r="E181" s="9"/>
      <c r="F181" s="42"/>
      <c r="G181" s="9"/>
      <c r="H181" s="9"/>
      <c r="I181" s="6"/>
      <c r="J181" s="6"/>
      <c r="K181" s="6"/>
      <c r="L181" s="6"/>
      <c r="M181" s="6"/>
      <c r="N181" s="9"/>
    </row>
    <row r="182" spans="1:14" s="10" customFormat="1" x14ac:dyDescent="0.2">
      <c r="A182" s="7"/>
      <c r="B182" s="11"/>
      <c r="C182" s="9"/>
      <c r="D182" s="9"/>
      <c r="E182" s="9"/>
      <c r="F182" s="42"/>
      <c r="G182" s="9"/>
      <c r="H182" s="9"/>
      <c r="I182" s="6"/>
      <c r="J182" s="6"/>
      <c r="K182" s="6"/>
      <c r="L182" s="6"/>
      <c r="M182" s="6"/>
      <c r="N182" s="9"/>
    </row>
    <row r="183" spans="1:14" s="10" customFormat="1" x14ac:dyDescent="0.2">
      <c r="A183" s="7"/>
      <c r="B183" s="11"/>
      <c r="C183" s="9"/>
      <c r="D183" s="9"/>
      <c r="E183" s="9"/>
      <c r="F183" s="42"/>
      <c r="G183" s="9"/>
      <c r="H183" s="9"/>
      <c r="I183" s="6"/>
      <c r="J183" s="6"/>
      <c r="K183" s="6"/>
      <c r="L183" s="6"/>
      <c r="M183" s="6"/>
      <c r="N183" s="9"/>
    </row>
    <row r="184" spans="1:14" s="10" customFormat="1" x14ac:dyDescent="0.2">
      <c r="A184" s="7"/>
      <c r="B184" s="11"/>
      <c r="C184" s="9"/>
      <c r="D184" s="9"/>
      <c r="E184" s="9"/>
      <c r="F184" s="42"/>
      <c r="G184" s="9"/>
      <c r="H184" s="9"/>
      <c r="I184" s="6"/>
      <c r="J184" s="6"/>
      <c r="K184" s="6"/>
      <c r="L184" s="6"/>
      <c r="M184" s="6"/>
      <c r="N184" s="9"/>
    </row>
    <row r="185" spans="1:14" s="10" customFormat="1" x14ac:dyDescent="0.2">
      <c r="A185" s="7"/>
      <c r="B185" s="11"/>
      <c r="C185" s="9"/>
      <c r="D185" s="9"/>
      <c r="E185" s="9"/>
      <c r="F185" s="42"/>
      <c r="G185" s="9"/>
      <c r="H185" s="9"/>
      <c r="I185" s="6"/>
      <c r="J185" s="6"/>
      <c r="K185" s="6"/>
      <c r="L185" s="6"/>
      <c r="M185" s="6"/>
      <c r="N185" s="9"/>
    </row>
    <row r="186" spans="1:14" s="10" customFormat="1" x14ac:dyDescent="0.2">
      <c r="A186" s="7"/>
      <c r="B186" s="11"/>
      <c r="C186" s="9"/>
      <c r="D186" s="9"/>
      <c r="E186" s="9"/>
      <c r="F186" s="42"/>
      <c r="G186" s="9"/>
      <c r="H186" s="9"/>
      <c r="I186" s="6"/>
      <c r="J186" s="6"/>
      <c r="K186" s="6"/>
      <c r="L186" s="6"/>
      <c r="M186" s="6"/>
      <c r="N186" s="9"/>
    </row>
    <row r="187" spans="1:14" s="10" customFormat="1" x14ac:dyDescent="0.2">
      <c r="A187" s="7"/>
      <c r="B187" s="11"/>
      <c r="C187" s="9"/>
      <c r="D187" s="9"/>
      <c r="E187" s="9"/>
      <c r="F187" s="42"/>
      <c r="G187" s="9"/>
      <c r="H187" s="9"/>
      <c r="I187" s="6"/>
      <c r="J187" s="6"/>
      <c r="K187" s="6"/>
      <c r="L187" s="6"/>
      <c r="M187" s="6"/>
      <c r="N187" s="9"/>
    </row>
    <row r="188" spans="1:14" s="10" customFormat="1" x14ac:dyDescent="0.2">
      <c r="A188" s="7"/>
      <c r="B188" s="11"/>
      <c r="C188" s="9"/>
      <c r="D188" s="9"/>
      <c r="E188" s="9"/>
      <c r="F188" s="42"/>
      <c r="G188" s="9"/>
      <c r="H188" s="9"/>
      <c r="I188" s="6"/>
      <c r="J188" s="6"/>
      <c r="K188" s="6"/>
      <c r="L188" s="6"/>
      <c r="M188" s="6"/>
      <c r="N188" s="9"/>
    </row>
    <row r="189" spans="1:14" s="10" customFormat="1" x14ac:dyDescent="0.2">
      <c r="A189" s="7"/>
      <c r="B189" s="11"/>
      <c r="C189" s="9"/>
      <c r="D189" s="9"/>
      <c r="E189" s="9"/>
      <c r="F189" s="42"/>
      <c r="G189" s="9"/>
      <c r="H189" s="9"/>
      <c r="I189" s="6"/>
      <c r="J189" s="6"/>
      <c r="K189" s="6"/>
      <c r="L189" s="6"/>
      <c r="M189" s="6"/>
      <c r="N189" s="9"/>
    </row>
    <row r="190" spans="1:14" s="10" customFormat="1" x14ac:dyDescent="0.2">
      <c r="A190" s="7"/>
      <c r="B190" s="11"/>
      <c r="C190" s="9"/>
      <c r="D190" s="9"/>
      <c r="E190" s="9"/>
      <c r="F190" s="42"/>
      <c r="G190" s="9"/>
      <c r="H190" s="9"/>
      <c r="I190" s="6"/>
      <c r="J190" s="6"/>
      <c r="K190" s="6"/>
      <c r="L190" s="6"/>
      <c r="M190" s="6"/>
      <c r="N190" s="9"/>
    </row>
    <row r="191" spans="1:14" s="10" customFormat="1" x14ac:dyDescent="0.2">
      <c r="A191" s="7"/>
      <c r="B191" s="11"/>
      <c r="C191" s="9"/>
      <c r="D191" s="9"/>
      <c r="E191" s="9"/>
      <c r="F191" s="42"/>
      <c r="G191" s="9"/>
      <c r="H191" s="9"/>
      <c r="I191" s="6"/>
      <c r="J191" s="6"/>
      <c r="K191" s="6"/>
      <c r="L191" s="6"/>
      <c r="M191" s="6"/>
      <c r="N191" s="9"/>
    </row>
    <row r="192" spans="1:14" s="10" customFormat="1" x14ac:dyDescent="0.2">
      <c r="A192" s="7"/>
      <c r="B192" s="11"/>
      <c r="C192" s="9"/>
      <c r="D192" s="9"/>
      <c r="E192" s="9"/>
      <c r="F192" s="42"/>
      <c r="G192" s="9"/>
      <c r="H192" s="9"/>
      <c r="I192" s="6"/>
      <c r="J192" s="6"/>
      <c r="K192" s="6"/>
      <c r="L192" s="6"/>
      <c r="M192" s="6"/>
      <c r="N192" s="9"/>
    </row>
    <row r="193" spans="1:14" s="10" customFormat="1" x14ac:dyDescent="0.2">
      <c r="A193" s="7"/>
      <c r="B193" s="11"/>
      <c r="C193" s="9"/>
      <c r="D193" s="9"/>
      <c r="E193" s="9"/>
      <c r="F193" s="42"/>
      <c r="G193" s="9"/>
      <c r="H193" s="9"/>
      <c r="I193" s="6"/>
      <c r="J193" s="6"/>
      <c r="K193" s="6"/>
      <c r="L193" s="6"/>
      <c r="M193" s="6"/>
      <c r="N193" s="9"/>
    </row>
    <row r="194" spans="1:14" s="10" customFormat="1" x14ac:dyDescent="0.2">
      <c r="A194" s="7"/>
      <c r="B194" s="11"/>
      <c r="C194" s="9"/>
      <c r="D194" s="9"/>
      <c r="E194" s="9"/>
      <c r="F194" s="42"/>
      <c r="G194" s="9"/>
      <c r="H194" s="9"/>
      <c r="I194" s="6"/>
      <c r="J194" s="6"/>
      <c r="K194" s="6"/>
      <c r="L194" s="6"/>
      <c r="M194" s="6"/>
      <c r="N194" s="9"/>
    </row>
    <row r="195" spans="1:14" s="10" customFormat="1" x14ac:dyDescent="0.2">
      <c r="A195" s="7"/>
      <c r="B195" s="11"/>
      <c r="C195" s="9"/>
      <c r="D195" s="9"/>
      <c r="E195" s="9"/>
      <c r="F195" s="42"/>
      <c r="G195" s="9"/>
      <c r="H195" s="9"/>
      <c r="I195" s="6"/>
      <c r="J195" s="6"/>
      <c r="K195" s="6"/>
      <c r="L195" s="6"/>
      <c r="M195" s="6"/>
      <c r="N195" s="9"/>
    </row>
    <row r="196" spans="1:14" s="10" customFormat="1" x14ac:dyDescent="0.2">
      <c r="A196" s="7"/>
      <c r="B196" s="11"/>
      <c r="C196" s="9"/>
      <c r="D196" s="9"/>
      <c r="E196" s="9"/>
      <c r="F196" s="42"/>
      <c r="G196" s="9"/>
      <c r="H196" s="9"/>
      <c r="I196" s="6"/>
      <c r="J196" s="6"/>
      <c r="K196" s="6"/>
      <c r="L196" s="6"/>
      <c r="M196" s="6"/>
      <c r="N196" s="9"/>
    </row>
    <row r="197" spans="1:14" s="10" customFormat="1" x14ac:dyDescent="0.2">
      <c r="A197" s="7"/>
      <c r="B197" s="11"/>
      <c r="C197" s="9"/>
      <c r="D197" s="9"/>
      <c r="E197" s="9"/>
      <c r="F197" s="42"/>
      <c r="G197" s="9"/>
      <c r="H197" s="9"/>
      <c r="I197" s="6"/>
      <c r="J197" s="6"/>
      <c r="K197" s="6"/>
      <c r="L197" s="6"/>
      <c r="M197" s="6"/>
      <c r="N197" s="9"/>
    </row>
    <row r="198" spans="1:14" s="10" customFormat="1" x14ac:dyDescent="0.2">
      <c r="A198" s="7"/>
      <c r="B198" s="11"/>
      <c r="C198" s="9"/>
      <c r="D198" s="9"/>
      <c r="E198" s="9"/>
      <c r="F198" s="42"/>
      <c r="G198" s="9"/>
      <c r="H198" s="9"/>
      <c r="I198" s="6"/>
      <c r="J198" s="6"/>
      <c r="K198" s="6"/>
      <c r="L198" s="6"/>
      <c r="M198" s="6"/>
      <c r="N198" s="9"/>
    </row>
    <row r="199" spans="1:14" s="10" customFormat="1" x14ac:dyDescent="0.2">
      <c r="A199" s="7"/>
      <c r="B199" s="11"/>
      <c r="C199" s="9"/>
      <c r="D199" s="9"/>
      <c r="E199" s="9"/>
      <c r="F199" s="42"/>
      <c r="G199" s="9"/>
      <c r="H199" s="9"/>
      <c r="I199" s="6"/>
      <c r="J199" s="6"/>
      <c r="K199" s="6"/>
      <c r="L199" s="6"/>
      <c r="M199" s="6"/>
      <c r="N199" s="9"/>
    </row>
    <row r="200" spans="1:14" s="10" customFormat="1" x14ac:dyDescent="0.2">
      <c r="A200" s="7"/>
      <c r="B200" s="11"/>
      <c r="C200" s="9"/>
      <c r="D200" s="9"/>
      <c r="E200" s="9"/>
      <c r="F200" s="42"/>
      <c r="G200" s="9"/>
      <c r="H200" s="9"/>
      <c r="I200" s="6"/>
      <c r="J200" s="6"/>
      <c r="K200" s="6"/>
      <c r="L200" s="6"/>
      <c r="M200" s="6"/>
      <c r="N200" s="9"/>
    </row>
    <row r="201" spans="1:14" s="10" customFormat="1" x14ac:dyDescent="0.2">
      <c r="A201" s="7"/>
      <c r="B201" s="11"/>
      <c r="C201" s="9"/>
      <c r="D201" s="9"/>
      <c r="E201" s="9"/>
      <c r="F201" s="42"/>
      <c r="G201" s="9"/>
      <c r="H201" s="9"/>
      <c r="I201" s="6"/>
      <c r="J201" s="6"/>
      <c r="K201" s="6"/>
      <c r="L201" s="6"/>
      <c r="M201" s="6"/>
      <c r="N201" s="9"/>
    </row>
    <row r="202" spans="1:14" s="10" customFormat="1" x14ac:dyDescent="0.2">
      <c r="A202" s="7"/>
      <c r="B202" s="11"/>
      <c r="C202" s="9"/>
      <c r="D202" s="9"/>
      <c r="E202" s="9"/>
      <c r="F202" s="42"/>
      <c r="G202" s="9"/>
      <c r="H202" s="9"/>
      <c r="I202" s="6"/>
      <c r="J202" s="6"/>
      <c r="K202" s="6"/>
      <c r="L202" s="6"/>
      <c r="M202" s="6"/>
      <c r="N202" s="9"/>
    </row>
    <row r="203" spans="1:14" s="10" customFormat="1" x14ac:dyDescent="0.2">
      <c r="A203" s="7"/>
      <c r="B203" s="11"/>
      <c r="C203" s="9"/>
      <c r="D203" s="9"/>
      <c r="E203" s="9"/>
      <c r="F203" s="42"/>
      <c r="G203" s="9"/>
      <c r="H203" s="9"/>
      <c r="I203" s="6"/>
      <c r="J203" s="6"/>
      <c r="K203" s="6"/>
      <c r="L203" s="6"/>
      <c r="M203" s="6"/>
      <c r="N203" s="9"/>
    </row>
    <row r="204" spans="1:14" s="10" customFormat="1" x14ac:dyDescent="0.2">
      <c r="A204" s="7"/>
      <c r="B204" s="11"/>
      <c r="C204" s="9"/>
      <c r="D204" s="9"/>
      <c r="E204" s="9"/>
      <c r="F204" s="42"/>
      <c r="G204" s="9"/>
      <c r="H204" s="9"/>
      <c r="I204" s="6"/>
      <c r="J204" s="6"/>
      <c r="K204" s="6"/>
      <c r="L204" s="6"/>
      <c r="M204" s="6"/>
      <c r="N204" s="9"/>
    </row>
    <row r="205" spans="1:14" s="10" customFormat="1" x14ac:dyDescent="0.2">
      <c r="A205" s="7"/>
      <c r="B205" s="11"/>
      <c r="C205" s="9"/>
      <c r="D205" s="9"/>
      <c r="E205" s="9"/>
      <c r="F205" s="42"/>
      <c r="G205" s="9"/>
      <c r="H205" s="9"/>
      <c r="I205" s="6"/>
      <c r="J205" s="6"/>
      <c r="K205" s="6"/>
      <c r="L205" s="6"/>
      <c r="M205" s="6"/>
      <c r="N205" s="9"/>
    </row>
    <row r="206" spans="1:14" s="10" customFormat="1" x14ac:dyDescent="0.2">
      <c r="A206" s="7"/>
      <c r="B206" s="11"/>
      <c r="C206" s="9"/>
      <c r="D206" s="9"/>
      <c r="E206" s="9"/>
      <c r="F206" s="42"/>
      <c r="G206" s="9"/>
      <c r="H206" s="9"/>
      <c r="I206" s="6"/>
      <c r="J206" s="6"/>
      <c r="K206" s="6"/>
      <c r="L206" s="6"/>
      <c r="M206" s="6"/>
      <c r="N206" s="9"/>
    </row>
    <row r="207" spans="1:14" s="10" customFormat="1" x14ac:dyDescent="0.2">
      <c r="A207" s="7"/>
      <c r="B207" s="11"/>
      <c r="C207" s="9"/>
      <c r="D207" s="9"/>
      <c r="E207" s="9"/>
      <c r="F207" s="42"/>
      <c r="G207" s="9"/>
      <c r="H207" s="9"/>
      <c r="I207" s="6"/>
      <c r="J207" s="6"/>
      <c r="K207" s="6"/>
      <c r="L207" s="6"/>
      <c r="M207" s="6"/>
      <c r="N207" s="9"/>
    </row>
    <row r="208" spans="1:14" s="10" customFormat="1" x14ac:dyDescent="0.2">
      <c r="A208" s="7"/>
      <c r="B208" s="11"/>
      <c r="C208" s="9"/>
      <c r="D208" s="9"/>
      <c r="E208" s="9"/>
      <c r="F208" s="42"/>
      <c r="G208" s="9"/>
      <c r="H208" s="9"/>
      <c r="I208" s="6"/>
      <c r="J208" s="6"/>
      <c r="K208" s="6"/>
      <c r="L208" s="6"/>
      <c r="M208" s="6"/>
      <c r="N208" s="9"/>
    </row>
    <row r="209" spans="1:14" s="10" customFormat="1" x14ac:dyDescent="0.2">
      <c r="A209" s="7"/>
      <c r="B209" s="11"/>
      <c r="C209" s="9"/>
      <c r="D209" s="9"/>
      <c r="E209" s="9"/>
      <c r="F209" s="42"/>
      <c r="G209" s="9"/>
      <c r="H209" s="9"/>
      <c r="I209" s="6"/>
      <c r="J209" s="6"/>
      <c r="K209" s="6"/>
      <c r="L209" s="6"/>
      <c r="M209" s="6"/>
      <c r="N209" s="9"/>
    </row>
    <row r="210" spans="1:14" s="10" customFormat="1" x14ac:dyDescent="0.2">
      <c r="A210" s="7"/>
      <c r="B210" s="11"/>
      <c r="C210" s="9"/>
      <c r="D210" s="9"/>
      <c r="E210" s="9"/>
      <c r="F210" s="42"/>
      <c r="G210" s="9"/>
      <c r="H210" s="9"/>
      <c r="I210" s="6"/>
      <c r="J210" s="6"/>
      <c r="K210" s="6"/>
      <c r="L210" s="6"/>
      <c r="M210" s="6"/>
      <c r="N210" s="9"/>
    </row>
    <row r="211" spans="1:14" s="10" customFormat="1" x14ac:dyDescent="0.2">
      <c r="A211" s="7"/>
      <c r="B211" s="11"/>
      <c r="C211" s="9"/>
      <c r="D211" s="9"/>
      <c r="E211" s="9"/>
      <c r="F211" s="42"/>
      <c r="G211" s="9"/>
      <c r="H211" s="9"/>
      <c r="I211" s="6"/>
      <c r="J211" s="6"/>
      <c r="K211" s="6"/>
      <c r="L211" s="6"/>
      <c r="M211" s="6"/>
      <c r="N211" s="9"/>
    </row>
    <row r="212" spans="1:14" s="10" customFormat="1" x14ac:dyDescent="0.2">
      <c r="A212" s="7"/>
      <c r="B212" s="11"/>
      <c r="C212" s="9"/>
      <c r="D212" s="9"/>
      <c r="E212" s="9"/>
      <c r="F212" s="42"/>
      <c r="G212" s="9"/>
      <c r="H212" s="9"/>
      <c r="I212" s="6"/>
      <c r="J212" s="6"/>
      <c r="K212" s="6"/>
      <c r="L212" s="6"/>
      <c r="M212" s="6"/>
      <c r="N212" s="9"/>
    </row>
    <row r="213" spans="1:14" s="10" customFormat="1" x14ac:dyDescent="0.2">
      <c r="A213" s="7"/>
      <c r="B213" s="11"/>
      <c r="C213" s="9"/>
      <c r="D213" s="9"/>
      <c r="E213" s="9"/>
      <c r="F213" s="42"/>
      <c r="G213" s="9"/>
      <c r="H213" s="9"/>
      <c r="I213" s="6"/>
      <c r="J213" s="6"/>
      <c r="K213" s="6"/>
      <c r="L213" s="6"/>
      <c r="M213" s="6"/>
      <c r="N213" s="9"/>
    </row>
    <row r="214" spans="1:14" s="10" customFormat="1" x14ac:dyDescent="0.2">
      <c r="A214" s="7"/>
      <c r="B214" s="11"/>
      <c r="C214" s="9"/>
      <c r="D214" s="9"/>
      <c r="E214" s="9"/>
      <c r="F214" s="42"/>
      <c r="G214" s="9"/>
      <c r="H214" s="9"/>
      <c r="I214" s="6"/>
      <c r="J214" s="6"/>
      <c r="K214" s="6"/>
      <c r="L214" s="6"/>
      <c r="M214" s="6"/>
      <c r="N214" s="9"/>
    </row>
    <row r="215" spans="1:14" s="10" customFormat="1" x14ac:dyDescent="0.2">
      <c r="A215" s="7"/>
      <c r="B215" s="11"/>
      <c r="C215" s="9"/>
      <c r="D215" s="9"/>
      <c r="E215" s="9"/>
      <c r="F215" s="42"/>
      <c r="G215" s="9"/>
      <c r="H215" s="9"/>
      <c r="I215" s="6"/>
      <c r="J215" s="6"/>
      <c r="K215" s="6"/>
      <c r="L215" s="6"/>
      <c r="M215" s="6"/>
      <c r="N215" s="9"/>
    </row>
    <row r="216" spans="1:14" s="10" customFormat="1" x14ac:dyDescent="0.2">
      <c r="A216" s="7"/>
      <c r="B216" s="11"/>
      <c r="C216" s="9"/>
      <c r="D216" s="9"/>
      <c r="E216" s="9"/>
      <c r="F216" s="42"/>
      <c r="G216" s="9"/>
      <c r="H216" s="9"/>
      <c r="I216" s="6"/>
      <c r="J216" s="6"/>
      <c r="K216" s="6"/>
      <c r="L216" s="6"/>
      <c r="M216" s="6"/>
      <c r="N216" s="9"/>
    </row>
    <row r="217" spans="1:14" s="10" customFormat="1" x14ac:dyDescent="0.2">
      <c r="A217" s="7"/>
      <c r="B217" s="11"/>
      <c r="C217" s="9"/>
      <c r="D217" s="9"/>
      <c r="E217" s="9"/>
      <c r="F217" s="42"/>
      <c r="G217" s="9"/>
      <c r="H217" s="9"/>
      <c r="I217" s="6"/>
      <c r="J217" s="6"/>
      <c r="K217" s="6"/>
      <c r="L217" s="6"/>
      <c r="M217" s="6"/>
      <c r="N217" s="9"/>
    </row>
    <row r="218" spans="1:14" s="10" customFormat="1" x14ac:dyDescent="0.2">
      <c r="A218" s="7"/>
      <c r="B218" s="11"/>
      <c r="C218" s="9"/>
      <c r="D218" s="9"/>
      <c r="E218" s="9"/>
      <c r="F218" s="42"/>
      <c r="G218" s="9"/>
      <c r="H218" s="9"/>
      <c r="I218" s="6"/>
      <c r="J218" s="6"/>
      <c r="K218" s="6"/>
      <c r="L218" s="6"/>
      <c r="M218" s="6"/>
      <c r="N218" s="9"/>
    </row>
    <row r="219" spans="1:14" s="10" customFormat="1" x14ac:dyDescent="0.2">
      <c r="A219" s="7"/>
      <c r="B219" s="11"/>
      <c r="C219" s="9"/>
      <c r="D219" s="9"/>
      <c r="E219" s="9"/>
      <c r="F219" s="42"/>
      <c r="G219" s="9"/>
      <c r="H219" s="9"/>
      <c r="I219" s="6"/>
      <c r="J219" s="6"/>
      <c r="K219" s="6"/>
      <c r="L219" s="6"/>
      <c r="M219" s="6"/>
      <c r="N219" s="9"/>
    </row>
    <row r="220" spans="1:14" s="10" customFormat="1" x14ac:dyDescent="0.2">
      <c r="A220" s="7"/>
      <c r="B220" s="11"/>
      <c r="C220" s="9"/>
      <c r="D220" s="9"/>
      <c r="E220" s="9"/>
      <c r="F220" s="42"/>
      <c r="G220" s="9"/>
      <c r="H220" s="9"/>
      <c r="I220" s="6"/>
      <c r="J220" s="6"/>
      <c r="K220" s="6"/>
      <c r="L220" s="6"/>
      <c r="M220" s="6"/>
      <c r="N220" s="9"/>
    </row>
    <row r="221" spans="1:14" s="10" customFormat="1" x14ac:dyDescent="0.2">
      <c r="A221" s="7"/>
      <c r="B221" s="11"/>
      <c r="C221" s="9"/>
      <c r="D221" s="9"/>
      <c r="E221" s="9"/>
      <c r="F221" s="42"/>
      <c r="G221" s="9"/>
      <c r="H221" s="9"/>
      <c r="I221" s="6"/>
      <c r="J221" s="6"/>
      <c r="K221" s="6"/>
      <c r="L221" s="6"/>
      <c r="M221" s="6"/>
      <c r="N221" s="9"/>
    </row>
    <row r="222" spans="1:14" s="10" customFormat="1" x14ac:dyDescent="0.2">
      <c r="A222" s="7"/>
      <c r="B222" s="11"/>
      <c r="C222" s="9"/>
      <c r="D222" s="9"/>
      <c r="E222" s="9"/>
      <c r="F222" s="42"/>
      <c r="G222" s="9"/>
      <c r="H222" s="9"/>
      <c r="I222" s="6"/>
      <c r="J222" s="6"/>
      <c r="K222" s="6"/>
      <c r="L222" s="6"/>
      <c r="M222" s="6"/>
      <c r="N222" s="9"/>
    </row>
    <row r="223" spans="1:14" s="10" customFormat="1" x14ac:dyDescent="0.2">
      <c r="A223" s="7"/>
      <c r="B223" s="11"/>
      <c r="C223" s="9"/>
      <c r="D223" s="9"/>
      <c r="E223" s="9"/>
      <c r="F223" s="42"/>
      <c r="G223" s="9"/>
      <c r="H223" s="9"/>
      <c r="I223" s="6"/>
      <c r="J223" s="6"/>
      <c r="K223" s="6"/>
      <c r="L223" s="6"/>
      <c r="M223" s="6"/>
      <c r="N223" s="9"/>
    </row>
    <row r="224" spans="1:14" s="10" customFormat="1" x14ac:dyDescent="0.2">
      <c r="A224" s="7"/>
      <c r="B224" s="11"/>
      <c r="C224" s="9"/>
      <c r="D224" s="9"/>
      <c r="E224" s="9"/>
      <c r="F224" s="42"/>
      <c r="G224" s="9"/>
      <c r="H224" s="9"/>
      <c r="I224" s="6"/>
      <c r="J224" s="6"/>
      <c r="K224" s="6"/>
      <c r="L224" s="6"/>
      <c r="M224" s="6"/>
      <c r="N224" s="9"/>
    </row>
    <row r="225" spans="1:14" s="10" customFormat="1" x14ac:dyDescent="0.2">
      <c r="A225" s="7"/>
      <c r="B225" s="11"/>
      <c r="C225" s="9"/>
      <c r="D225" s="9"/>
      <c r="E225" s="9"/>
      <c r="F225" s="42"/>
      <c r="G225" s="9"/>
      <c r="H225" s="9"/>
      <c r="I225" s="6"/>
      <c r="J225" s="6"/>
      <c r="K225" s="6"/>
      <c r="L225" s="6"/>
      <c r="M225" s="6"/>
      <c r="N225" s="9"/>
    </row>
    <row r="226" spans="1:14" s="10" customFormat="1" x14ac:dyDescent="0.2">
      <c r="A226" s="7"/>
      <c r="B226" s="11"/>
      <c r="C226" s="9"/>
      <c r="D226" s="9"/>
      <c r="E226" s="9"/>
      <c r="F226" s="42"/>
      <c r="G226" s="9"/>
      <c r="H226" s="9"/>
      <c r="I226" s="6"/>
      <c r="J226" s="6"/>
      <c r="K226" s="6"/>
      <c r="L226" s="6"/>
      <c r="M226" s="6"/>
      <c r="N226" s="9"/>
    </row>
    <row r="227" spans="1:14" s="10" customFormat="1" x14ac:dyDescent="0.2">
      <c r="A227" s="7"/>
      <c r="B227" s="11"/>
      <c r="C227" s="9"/>
      <c r="D227" s="9"/>
      <c r="E227" s="9"/>
      <c r="F227" s="42"/>
      <c r="G227" s="9"/>
      <c r="H227" s="9"/>
      <c r="I227" s="6"/>
      <c r="J227" s="6"/>
      <c r="K227" s="6"/>
      <c r="L227" s="6"/>
      <c r="M227" s="6"/>
      <c r="N227" s="9"/>
    </row>
    <row r="228" spans="1:14" s="10" customFormat="1" x14ac:dyDescent="0.2">
      <c r="A228" s="7"/>
      <c r="B228" s="11"/>
      <c r="C228" s="9"/>
      <c r="D228" s="9"/>
      <c r="E228" s="9"/>
      <c r="F228" s="42"/>
      <c r="G228" s="9"/>
      <c r="H228" s="9"/>
      <c r="I228" s="6"/>
      <c r="J228" s="6"/>
      <c r="K228" s="6"/>
      <c r="L228" s="6"/>
      <c r="M228" s="6"/>
      <c r="N228" s="9"/>
    </row>
    <row r="229" spans="1:14" s="10" customFormat="1" x14ac:dyDescent="0.2">
      <c r="A229" s="7"/>
      <c r="B229" s="11"/>
      <c r="C229" s="9"/>
      <c r="D229" s="9"/>
      <c r="E229" s="9"/>
      <c r="F229" s="42"/>
      <c r="G229" s="9"/>
      <c r="H229" s="9"/>
      <c r="I229" s="6"/>
      <c r="J229" s="6"/>
      <c r="K229" s="6"/>
      <c r="L229" s="6"/>
      <c r="M229" s="6"/>
      <c r="N229" s="9"/>
    </row>
    <row r="230" spans="1:14" s="10" customFormat="1" x14ac:dyDescent="0.2">
      <c r="A230" s="7"/>
      <c r="B230" s="11"/>
      <c r="C230" s="9"/>
      <c r="D230" s="9"/>
      <c r="E230" s="9"/>
      <c r="F230" s="42"/>
      <c r="G230" s="9"/>
      <c r="H230" s="9"/>
      <c r="I230" s="6"/>
      <c r="J230" s="6"/>
      <c r="K230" s="6"/>
      <c r="L230" s="6"/>
      <c r="M230" s="6"/>
      <c r="N230" s="9"/>
    </row>
    <row r="231" spans="1:14" s="10" customFormat="1" x14ac:dyDescent="0.2">
      <c r="A231" s="7"/>
      <c r="B231" s="11"/>
      <c r="C231" s="9"/>
      <c r="D231" s="9"/>
      <c r="E231" s="9"/>
      <c r="F231" s="42"/>
      <c r="G231" s="9"/>
      <c r="H231" s="9"/>
      <c r="I231" s="6"/>
      <c r="J231" s="6"/>
      <c r="K231" s="6"/>
      <c r="L231" s="6"/>
      <c r="M231" s="6"/>
      <c r="N231" s="9"/>
    </row>
    <row r="232" spans="1:14" s="10" customFormat="1" x14ac:dyDescent="0.2">
      <c r="A232" s="7"/>
      <c r="B232" s="11"/>
      <c r="C232" s="9"/>
      <c r="D232" s="9"/>
      <c r="E232" s="9"/>
      <c r="F232" s="42"/>
      <c r="G232" s="9"/>
      <c r="H232" s="9"/>
      <c r="I232" s="6"/>
      <c r="J232" s="6"/>
      <c r="K232" s="6"/>
      <c r="L232" s="6"/>
      <c r="M232" s="6"/>
      <c r="N232" s="9"/>
    </row>
    <row r="233" spans="1:14" s="10" customFormat="1" x14ac:dyDescent="0.2">
      <c r="A233" s="7"/>
      <c r="B233" s="11"/>
      <c r="C233" s="9"/>
      <c r="D233" s="9"/>
      <c r="E233" s="9"/>
      <c r="F233" s="42"/>
      <c r="G233" s="9"/>
      <c r="H233" s="9"/>
      <c r="I233" s="6"/>
      <c r="J233" s="6"/>
      <c r="K233" s="6"/>
      <c r="L233" s="6"/>
      <c r="M233" s="6"/>
      <c r="N233" s="9"/>
    </row>
    <row r="234" spans="1:14" s="10" customFormat="1" x14ac:dyDescent="0.2">
      <c r="A234" s="7"/>
      <c r="B234" s="11"/>
      <c r="C234" s="9"/>
      <c r="D234" s="9"/>
      <c r="E234" s="9"/>
      <c r="F234" s="42"/>
      <c r="G234" s="9"/>
      <c r="H234" s="9"/>
      <c r="I234" s="6"/>
      <c r="J234" s="6"/>
      <c r="K234" s="6"/>
      <c r="L234" s="6"/>
      <c r="M234" s="6"/>
      <c r="N234" s="9"/>
    </row>
    <row r="235" spans="1:14" s="10" customFormat="1" x14ac:dyDescent="0.2">
      <c r="A235" s="7"/>
      <c r="B235" s="11"/>
      <c r="C235" s="9"/>
      <c r="D235" s="9"/>
      <c r="E235" s="9"/>
      <c r="F235" s="42"/>
      <c r="G235" s="9"/>
      <c r="H235" s="9"/>
      <c r="I235" s="6"/>
      <c r="J235" s="6"/>
      <c r="K235" s="6"/>
      <c r="L235" s="6"/>
      <c r="M235" s="6"/>
      <c r="N235" s="9"/>
    </row>
    <row r="236" spans="1:14" s="10" customFormat="1" x14ac:dyDescent="0.2">
      <c r="A236" s="7"/>
      <c r="B236" s="11"/>
      <c r="C236" s="9"/>
      <c r="D236" s="9"/>
      <c r="E236" s="9"/>
      <c r="F236" s="42"/>
      <c r="G236" s="9"/>
      <c r="H236" s="9"/>
      <c r="I236" s="6"/>
      <c r="J236" s="6"/>
      <c r="K236" s="6"/>
      <c r="L236" s="6"/>
      <c r="M236" s="6"/>
      <c r="N236" s="9"/>
    </row>
    <row r="237" spans="1:14" s="10" customFormat="1" x14ac:dyDescent="0.2">
      <c r="A237" s="7"/>
      <c r="B237" s="11"/>
      <c r="C237" s="9"/>
      <c r="D237" s="9"/>
      <c r="E237" s="9"/>
      <c r="F237" s="42"/>
      <c r="G237" s="9"/>
      <c r="H237" s="9"/>
      <c r="I237" s="6"/>
      <c r="J237" s="6"/>
      <c r="K237" s="6"/>
      <c r="L237" s="6"/>
      <c r="M237" s="6"/>
      <c r="N237" s="9"/>
    </row>
    <row r="238" spans="1:14" s="10" customFormat="1" x14ac:dyDescent="0.2">
      <c r="A238" s="7"/>
      <c r="B238" s="11"/>
      <c r="C238" s="9"/>
      <c r="D238" s="9"/>
      <c r="E238" s="9"/>
      <c r="F238" s="42"/>
      <c r="G238" s="9"/>
      <c r="H238" s="9"/>
      <c r="I238" s="6"/>
      <c r="J238" s="6"/>
      <c r="K238" s="6"/>
      <c r="L238" s="6"/>
      <c r="M238" s="6"/>
      <c r="N238" s="9"/>
    </row>
  </sheetData>
  <hyperlinks>
    <hyperlink ref="F7" location="'SU A0100'!A1" display="'SU A0100'!A1" xr:uid="{00000000-0004-0000-0000-000000000000}"/>
    <hyperlink ref="F8" location="SU_01001" display="SU_01001" xr:uid="{00000000-0004-0000-0000-000001000000}"/>
    <hyperlink ref="F9" location="SU_01002" display="SU_01002" xr:uid="{00000000-0004-0000-0000-000002000000}"/>
    <hyperlink ref="F10" location="SU_01003" display="SU_01003" xr:uid="{00000000-0004-0000-0000-000003000000}"/>
    <hyperlink ref="F11" location="SU_01004" display="SU_01004" xr:uid="{00000000-0004-0000-0000-000004000000}"/>
    <hyperlink ref="F12" location="SU_01005" display="SU_01005" xr:uid="{00000000-0004-0000-0000-000005000000}"/>
    <hyperlink ref="F14" location="SU_01007" display="SU_01007" xr:uid="{00000000-0004-0000-0000-000006000000}"/>
    <hyperlink ref="F19" location="SU_A0200" display="SU_A0200" xr:uid="{00000000-0004-0000-0000-000007000000}"/>
    <hyperlink ref="F20" location="SU_02001" display="SU_02001" xr:uid="{00000000-0004-0000-0000-000008000000}"/>
    <hyperlink ref="F21:F26" location="SU_01001" display="SU_01001" xr:uid="{00000000-0004-0000-0000-000009000000}"/>
    <hyperlink ref="F21" location="SU_02002" display="SU_02002" xr:uid="{00000000-0004-0000-0000-00000A000000}"/>
    <hyperlink ref="F22" location="SU_02003" display="SU_02003" xr:uid="{00000000-0004-0000-0000-00000B000000}"/>
    <hyperlink ref="F23" location="SU_02004" display="SU_02004" xr:uid="{00000000-0004-0000-0000-00000C000000}"/>
    <hyperlink ref="F24" location="SU_02005" display="SU_02005" xr:uid="{00000000-0004-0000-0000-00000D000000}"/>
    <hyperlink ref="F26" location="SU_02007" display="SU_02007" xr:uid="{00000000-0004-0000-0000-00000E000000}"/>
    <hyperlink ref="F13" location="SU_01006" display="SU_01006" xr:uid="{00000000-0004-0000-0000-00000F000000}"/>
    <hyperlink ref="F25" location="SU_02006" display="SU_02006" xr:uid="{00000000-0004-0000-0000-000010000000}"/>
    <hyperlink ref="F31" location="SU_A0300" display="SU_A0300" xr:uid="{00000000-0004-0000-0000-000011000000}"/>
    <hyperlink ref="F32" location="SU_03001" display="SU_03001" xr:uid="{00000000-0004-0000-0000-000012000000}"/>
    <hyperlink ref="F33:F38" location="SU_03001" display="SU_03001" xr:uid="{00000000-0004-0000-0000-000013000000}"/>
    <hyperlink ref="F33" location="SU_03002" display="SU_03002" xr:uid="{00000000-0004-0000-0000-000014000000}"/>
    <hyperlink ref="F34" location="SU_03003" display="SU_03003" xr:uid="{00000000-0004-0000-0000-000015000000}"/>
    <hyperlink ref="F35" location="SU_03004" display="SU_03004" xr:uid="{00000000-0004-0000-0000-000016000000}"/>
    <hyperlink ref="F36" location="SU_03005" display="SU_03005" xr:uid="{00000000-0004-0000-0000-000017000000}"/>
    <hyperlink ref="F37" location="SU_03006" display="SU_03006" xr:uid="{00000000-0004-0000-0000-000018000000}"/>
    <hyperlink ref="F38" location="SU_03007" display="SU_03007" xr:uid="{00000000-0004-0000-0000-000019000000}"/>
    <hyperlink ref="F15:F17" location="SU_01007" display="SU_01007" xr:uid="{00000000-0004-0000-0000-00001A000000}"/>
    <hyperlink ref="F18" location="SU_01011" display="SU_01011" xr:uid="{00000000-0004-0000-0000-00001B000000}"/>
    <hyperlink ref="F15" location="SU_01008" display="SU_01008" xr:uid="{00000000-0004-0000-0000-00001C000000}"/>
    <hyperlink ref="F16" location="SU_01009" display="SU_01009" xr:uid="{00000000-0004-0000-0000-00001D000000}"/>
    <hyperlink ref="F17" location="SU_01010" display="SU_01010" xr:uid="{00000000-0004-0000-0000-00001E000000}"/>
    <hyperlink ref="F27" location="SU_02008" display="SU_02008" xr:uid="{00000000-0004-0000-0000-00001F000000}"/>
    <hyperlink ref="F28" location="SU_02009" display="SU_02009" xr:uid="{00000000-0004-0000-0000-000020000000}"/>
    <hyperlink ref="F29" location="SU_02010" display="SU_02010" xr:uid="{00000000-0004-0000-0000-000021000000}"/>
    <hyperlink ref="F30" location="SU_02011" display="SU_02011" xr:uid="{00000000-0004-0000-0000-000022000000}"/>
    <hyperlink ref="F39" location="SU_03008" display="SU_03008" xr:uid="{00000000-0004-0000-0000-000023000000}"/>
    <hyperlink ref="F40" location="SU_03009" display="SU_03009" xr:uid="{00000000-0004-0000-0000-000024000000}"/>
    <hyperlink ref="F41" location="SU_03010" display="SU_03010" xr:uid="{00000000-0004-0000-0000-000025000000}"/>
    <hyperlink ref="F42" location="SU_03011" display="SU_03011" xr:uid="{00000000-0004-0000-0000-000026000000}"/>
    <hyperlink ref="F43" location="SU_A0400" display="SU_A0400" xr:uid="{00000000-0004-0000-0000-000027000000}"/>
    <hyperlink ref="F44" location="SU_04001" display="SU_04001" xr:uid="{00000000-0004-0000-0000-000028000000}"/>
    <hyperlink ref="F45:F50" location="SU_03001" display="SU_03001" xr:uid="{00000000-0004-0000-0000-000029000000}"/>
    <hyperlink ref="F45" location="SU_04002" display="SU_04002" xr:uid="{00000000-0004-0000-0000-00002A000000}"/>
    <hyperlink ref="F46" location="SU_04003" display="SU_04003" xr:uid="{00000000-0004-0000-0000-00002B000000}"/>
    <hyperlink ref="F47" location="SU_04004" display="SU_04004" xr:uid="{00000000-0004-0000-0000-00002C000000}"/>
    <hyperlink ref="F48" location="SU_04005" display="SU_04005" xr:uid="{00000000-0004-0000-0000-00002D000000}"/>
    <hyperlink ref="F49" location="SU_03006" display="SU_03006" xr:uid="{00000000-0004-0000-0000-00002E000000}"/>
    <hyperlink ref="F50" location="SU_04007" display="SU_04007" xr:uid="{00000000-0004-0000-0000-00002F000000}"/>
    <hyperlink ref="F52" location="SU_03009" display="SU_03009" xr:uid="{00000000-0004-0000-0000-000030000000}"/>
    <hyperlink ref="F53" location="SU_03010" display="SU_03010" xr:uid="{00000000-0004-0000-0000-000031000000}"/>
    <hyperlink ref="F54" location="SU_03011" display="SU_03011" xr:uid="{00000000-0004-0000-0000-000032000000}"/>
    <hyperlink ref="F51" location="SU_04008" display="SU_04008" xr:uid="{00000000-0004-0000-0000-000033000000}"/>
    <hyperlink ref="F55" location="'SU A0500'!A1" display="'SU A0500'!A1" xr:uid="{00000000-0004-0000-0000-000034000000}"/>
    <hyperlink ref="F56" location="SU_05001" display="SU_05001" xr:uid="{00000000-0004-0000-0000-000035000000}"/>
    <hyperlink ref="F58" location="SU_06001" display="Rocker bushing" xr:uid="{00000000-0004-0000-0000-000036000000}"/>
    <hyperlink ref="F59" location="SU_06002" display="Rocker spacer" xr:uid="{00000000-0004-0000-0000-000037000000}"/>
    <hyperlink ref="F60" location="SU_06003" display="Sheets of metal for rocker" xr:uid="{00000000-0004-0000-0000-000038000000}"/>
    <hyperlink ref="F61" location="SU_06004" display="Front rocker mount" xr:uid="{00000000-0004-0000-0000-000039000000}"/>
    <hyperlink ref="F63" location="SU_07001" display="SU_07001" xr:uid="{00000000-0004-0000-0000-00003A000000}"/>
    <hyperlink ref="F62" location="SU_A0700" display="SU_A0700" xr:uid="{00000000-0004-0000-0000-00003B000000}"/>
    <hyperlink ref="F65" location="SU_08001" display="Rocker bushing" xr:uid="{00000000-0004-0000-0000-00003C000000}"/>
    <hyperlink ref="F66" location="SU_08002" display="Sheets of metal for rocker" xr:uid="{00000000-0004-0000-0000-00003D000000}"/>
    <hyperlink ref="F67" location="SU_08003" display="Rear rocker mount" xr:uid="{00000000-0004-0000-0000-00003E000000}"/>
    <hyperlink ref="F64" location="SU_A0800" display="Rear Bell Cranck" xr:uid="{00000000-0004-0000-0000-00003F000000}"/>
    <hyperlink ref="F57" location="SU_A0600" display="SU_A0600" xr:uid="{00000000-0004-0000-0000-000040000000}"/>
    <hyperlink ref="F69" location="SU_09001" display="SU_09001" xr:uid="{00000000-0004-0000-0000-000041000000}"/>
    <hyperlink ref="F70" location="SU_09002" display="SU_09002" xr:uid="{00000000-0004-0000-0000-000042000000}"/>
    <hyperlink ref="F68" location="SU_A0900" display="SU_A0900" xr:uid="{00000000-0004-0000-0000-000043000000}"/>
    <hyperlink ref="F71" location="SU_09003" display="SU_09003" xr:uid="{00000000-0004-0000-0000-000044000000}"/>
    <hyperlink ref="F72" location="SU_09004" display="SU_09004" xr:uid="{00000000-0004-0000-0000-000045000000}"/>
    <hyperlink ref="F74" location="SU_10001" display="SU_10001" xr:uid="{00000000-0004-0000-0000-000046000000}"/>
    <hyperlink ref="F75" location="SU_10002" display="SU_10002" xr:uid="{00000000-0004-0000-0000-000047000000}"/>
    <hyperlink ref="F73" location="SU_A1000" display="SU_A1000" xr:uid="{00000000-0004-0000-0000-000048000000}"/>
    <hyperlink ref="F76" location="SU_10003" display="SU_10003" xr:uid="{00000000-0004-0000-0000-000049000000}"/>
    <hyperlink ref="F77" location="SU_10004" display="SU_10004" xr:uid="{00000000-0004-0000-0000-00004A000000}"/>
    <hyperlink ref="F78" location="SU_10005" display="SU_10005" xr:uid="{00000000-0004-0000-0000-00004B000000}"/>
    <hyperlink ref="F80" location="SU_11001" display="SU_11001" xr:uid="{00000000-0004-0000-0000-00004C000000}"/>
    <hyperlink ref="F81" location="SU_11002" display="SU_11002" xr:uid="{00000000-0004-0000-0000-00004D000000}"/>
    <hyperlink ref="F79" location="SU_A1100" display="SU_A1100" xr:uid="{00000000-0004-0000-0000-00004E000000}"/>
    <hyperlink ref="F82" location="SU_11003" display="SU_11003" xr:uid="{00000000-0004-0000-0000-00004F000000}"/>
    <hyperlink ref="F83" location="SU_11004" display="SU_11004" xr:uid="{00000000-0004-0000-0000-000050000000}"/>
    <hyperlink ref="F84" location="SU_A1200" display="SU_A1200" xr:uid="{00000000-0004-0000-0000-000051000000}"/>
    <hyperlink ref="F85" location="SU_12001" display="SU_12001" xr:uid="{00000000-0004-0000-0000-000052000000}"/>
    <hyperlink ref="F86" location="SU_12002" display="SU_12002" xr:uid="{00000000-0004-0000-0000-000053000000}"/>
    <hyperlink ref="F87" location="SU_12003" display="SU_12003" xr:uid="{00000000-0004-0000-0000-000054000000}"/>
    <hyperlink ref="F88" location="SU_12004" display="SU_12004" xr:uid="{00000000-0004-0000-0000-000055000000}"/>
    <hyperlink ref="F89" location="SU_A1300" display="SU_A1300" xr:uid="{00000000-0004-0000-0000-000056000000}"/>
    <hyperlink ref="F90" location="SU_13001" display="SU_13001" xr:uid="{00000000-0004-0000-0000-000057000000}"/>
    <hyperlink ref="F91" location="SU_13002" display="SU_13002" xr:uid="{00000000-0004-0000-0000-000058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1" fitToHeight="99" orientation="landscape" r:id="rId1"/>
  <headerFooter>
    <oddFooter>Page &amp;P</oddFooter>
  </headerFooter>
  <rowBreaks count="1" manualBreakCount="1">
    <brk id="6" max="16383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22.5703125" customWidth="1"/>
  </cols>
  <sheetData>
    <row r="1" spans="1:2" x14ac:dyDescent="0.25">
      <c r="A1" t="s">
        <v>99</v>
      </c>
      <c r="B1" s="88" t="s">
        <v>101</v>
      </c>
    </row>
  </sheetData>
  <hyperlinks>
    <hyperlink ref="B1" location="SU_01005" display="SU_01005" xr:uid="{00000000-0004-0000-09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300-000000000000}">
  <sheetPr>
    <tabColor rgb="FFFFFF66"/>
    <pageSetUpPr fitToPage="1"/>
  </sheetPr>
  <dimension ref="A1:P18"/>
  <sheetViews>
    <sheetView zoomScale="80" zoomScaleNormal="80" zoomScalePageLayoutView="70" workbookViewId="0">
      <selection activeCell="E2" sqref="E2"/>
    </sheetView>
  </sheetViews>
  <sheetFormatPr baseColWidth="10" defaultRowHeight="15" x14ac:dyDescent="0.25"/>
  <cols>
    <col min="1" max="1" width="11.5703125" customWidth="1"/>
    <col min="2" max="2" width="19.140625" customWidth="1"/>
    <col min="3" max="3" width="32" customWidth="1"/>
    <col min="5" max="5" width="13.28515625" bestFit="1" customWidth="1"/>
    <col min="7" max="7" width="38.28515625" customWidth="1"/>
    <col min="9" max="9" width="16.7109375" customWidth="1"/>
    <col min="11" max="11" width="7.7109375" customWidth="1"/>
    <col min="12" max="12" width="9.28515625" customWidth="1"/>
    <col min="15" max="15" width="6.7109375" customWidth="1"/>
  </cols>
  <sheetData>
    <row r="1" spans="1:16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SU_08002_m+SU_08002_p</f>
        <v>2.0644187499999997</v>
      </c>
      <c r="O2" s="62"/>
    </row>
    <row r="3" spans="1:16" x14ac:dyDescent="0.25">
      <c r="A3" s="99" t="s">
        <v>3</v>
      </c>
      <c r="B3" s="16" t="str">
        <f>'SU A0800'!B3</f>
        <v>Suspension &amp; Shocks</v>
      </c>
      <c r="C3" s="56"/>
      <c r="D3" s="99" t="s">
        <v>6</v>
      </c>
      <c r="E3" s="275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6" x14ac:dyDescent="0.25">
      <c r="A4" s="99" t="s">
        <v>5</v>
      </c>
      <c r="B4" s="87" t="str">
        <f>'SU A0800'!B4</f>
        <v>Rear Bell Crank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25">
      <c r="A5" s="99" t="s">
        <v>15</v>
      </c>
      <c r="B5" s="28" t="s">
        <v>340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4.1288374999999995</v>
      </c>
      <c r="O5" s="62"/>
    </row>
    <row r="6" spans="1:16" x14ac:dyDescent="0.25">
      <c r="A6" s="99" t="s">
        <v>7</v>
      </c>
      <c r="B6" t="s">
        <v>374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6" ht="45" x14ac:dyDescent="0.25">
      <c r="A11" s="767">
        <v>10</v>
      </c>
      <c r="B11" s="665" t="s">
        <v>301</v>
      </c>
      <c r="C11" s="20" t="s">
        <v>342</v>
      </c>
      <c r="D11" s="277">
        <v>2.25</v>
      </c>
      <c r="E11" s="768">
        <f>L11*J11*K11</f>
        <v>0.15307499999999999</v>
      </c>
      <c r="F11" s="20" t="s">
        <v>141</v>
      </c>
      <c r="G11" s="20"/>
      <c r="H11" s="278"/>
      <c r="I11" s="830" t="s">
        <v>375</v>
      </c>
      <c r="J11" s="769">
        <f>100*65*10^-6</f>
        <v>6.4999999999999997E-3</v>
      </c>
      <c r="K11" s="668">
        <v>3.0000000000000001E-3</v>
      </c>
      <c r="L11" s="669">
        <v>7850</v>
      </c>
      <c r="M11" s="23">
        <v>1</v>
      </c>
      <c r="N11" s="277">
        <f>IF(J11="",D11*M11,D11*J11*K11*L11*M11)</f>
        <v>0.34441874999999994</v>
      </c>
      <c r="O11" s="66"/>
      <c r="P11" s="22"/>
    </row>
    <row r="12" spans="1:16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0.34441874999999994</v>
      </c>
      <c r="O12" s="62"/>
    </row>
    <row r="13" spans="1:16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25">
      <c r="A14" s="770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6" ht="30" x14ac:dyDescent="0.25">
      <c r="A15" s="815">
        <v>10</v>
      </c>
      <c r="B15" s="831" t="s">
        <v>344</v>
      </c>
      <c r="C15" s="800" t="s">
        <v>345</v>
      </c>
      <c r="D15" s="798">
        <v>1.3</v>
      </c>
      <c r="E15" s="800" t="s">
        <v>35</v>
      </c>
      <c r="F15" s="800">
        <v>1</v>
      </c>
      <c r="G15" s="800" t="s">
        <v>346</v>
      </c>
      <c r="H15" s="800">
        <v>0.25</v>
      </c>
      <c r="I15" s="798">
        <f>D15*F15*H15</f>
        <v>0.32500000000000001</v>
      </c>
      <c r="J15" s="58"/>
      <c r="K15" s="58"/>
      <c r="L15" s="58"/>
      <c r="M15" s="58"/>
      <c r="N15" s="58"/>
      <c r="O15" s="68"/>
      <c r="P15" s="25"/>
    </row>
    <row r="16" spans="1:16" x14ac:dyDescent="0.25">
      <c r="A16" s="815">
        <v>20</v>
      </c>
      <c r="B16" s="800" t="s">
        <v>347</v>
      </c>
      <c r="C16" s="800" t="s">
        <v>348</v>
      </c>
      <c r="D16" s="798">
        <v>0.01</v>
      </c>
      <c r="E16" s="800" t="s">
        <v>40</v>
      </c>
      <c r="F16" s="800">
        <v>46.5</v>
      </c>
      <c r="G16" s="800" t="s">
        <v>339</v>
      </c>
      <c r="H16" s="800">
        <v>3</v>
      </c>
      <c r="I16" s="798">
        <f>D16*F16*H16</f>
        <v>1.395</v>
      </c>
      <c r="J16" s="56"/>
      <c r="K16" s="56"/>
      <c r="L16" s="56"/>
      <c r="M16" s="56"/>
      <c r="N16" s="56"/>
      <c r="O16" s="62"/>
    </row>
    <row r="17" spans="1:15" x14ac:dyDescent="0.25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1.72</v>
      </c>
      <c r="J17" s="24"/>
      <c r="K17" s="24"/>
      <c r="L17" s="24"/>
      <c r="M17" s="24"/>
      <c r="N17" s="24"/>
      <c r="O17" s="62"/>
    </row>
    <row r="18" spans="1:15" ht="15.75" thickBot="1" x14ac:dyDescent="0.3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8002" display="Drawing" xr:uid="{00000000-0004-0000-6300-000000000000}"/>
    <hyperlink ref="G2" location="SU_A0800_BOM" display="Back to BOM" xr:uid="{00000000-0004-0000-6300-000001000000}"/>
    <hyperlink ref="B4" location="SU_A0800" display="SU_A0800" xr:uid="{00000000-0004-0000-63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3" fitToHeight="99" orientation="landscape" r:id="rId1"/>
  <headerFooter>
    <oddFooter>Page &amp;P</oddFooter>
  </headerFooter>
  <drawing r:id="rId2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4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2.140625" customWidth="1"/>
  </cols>
  <sheetData>
    <row r="1" spans="1:2" x14ac:dyDescent="0.25">
      <c r="A1" t="s">
        <v>349</v>
      </c>
      <c r="B1" s="275" t="s">
        <v>379</v>
      </c>
    </row>
  </sheetData>
  <hyperlinks>
    <hyperlink ref="B1" location="SU_08002" display="SU_08002" xr:uid="{00000000-0004-0000-64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500-000000000000}">
  <sheetPr>
    <tabColor rgb="FFFFFF66"/>
    <pageSetUpPr fitToPage="1"/>
  </sheetPr>
  <dimension ref="A1:O21"/>
  <sheetViews>
    <sheetView zoomScale="70" zoomScaleNormal="70" zoomScalePageLayoutView="70" workbookViewId="0">
      <selection activeCell="E2" sqref="E2"/>
    </sheetView>
  </sheetViews>
  <sheetFormatPr baseColWidth="10" defaultRowHeight="15" x14ac:dyDescent="0.25"/>
  <cols>
    <col min="2" max="2" width="39.140625" customWidth="1"/>
    <col min="3" max="3" width="30.85546875" customWidth="1"/>
    <col min="7" max="7" width="36.7109375" customWidth="1"/>
    <col min="9" max="9" width="29.28515625" customWidth="1"/>
  </cols>
  <sheetData>
    <row r="1" spans="1:15" x14ac:dyDescent="0.25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25">
      <c r="A2" s="816" t="s">
        <v>0</v>
      </c>
      <c r="B2" s="16" t="s">
        <v>37</v>
      </c>
      <c r="C2" s="786"/>
      <c r="D2" s="786"/>
      <c r="E2" s="786"/>
      <c r="F2" s="787" t="s">
        <v>62</v>
      </c>
      <c r="G2" s="786"/>
      <c r="H2" s="786"/>
      <c r="I2" s="786"/>
      <c r="J2" s="817" t="s">
        <v>1</v>
      </c>
      <c r="K2" s="789">
        <v>81</v>
      </c>
      <c r="L2" s="786"/>
      <c r="M2" s="818" t="s">
        <v>16</v>
      </c>
      <c r="N2" s="790">
        <f>SU_08003_m+SU_08003_p</f>
        <v>3.3779399999999997</v>
      </c>
      <c r="O2" s="264"/>
    </row>
    <row r="3" spans="1:15" x14ac:dyDescent="0.25">
      <c r="A3" s="819" t="s">
        <v>3</v>
      </c>
      <c r="B3" s="16" t="str">
        <f>'SU A0800'!B3</f>
        <v>Suspension &amp; Shocks</v>
      </c>
      <c r="C3" s="786"/>
      <c r="D3" s="818" t="s">
        <v>6</v>
      </c>
      <c r="E3" s="786"/>
      <c r="F3" s="786"/>
      <c r="G3" s="786"/>
      <c r="H3" s="786"/>
      <c r="I3" s="786"/>
      <c r="J3" s="786"/>
      <c r="K3" s="786"/>
      <c r="L3" s="786"/>
      <c r="M3" s="820" t="s">
        <v>4</v>
      </c>
      <c r="N3" s="791">
        <v>1</v>
      </c>
      <c r="O3" s="264"/>
    </row>
    <row r="4" spans="1:15" x14ac:dyDescent="0.25">
      <c r="A4" s="819" t="s">
        <v>5</v>
      </c>
      <c r="B4" s="87" t="str">
        <f>'SU A0800'!B4</f>
        <v>Rear Bell Crank</v>
      </c>
      <c r="C4" s="786"/>
      <c r="D4" s="820" t="s">
        <v>8</v>
      </c>
      <c r="E4" s="786"/>
      <c r="F4" s="786"/>
      <c r="G4" s="786"/>
      <c r="H4" s="786"/>
      <c r="I4" s="786"/>
      <c r="J4" s="818" t="s">
        <v>6</v>
      </c>
      <c r="K4" s="786"/>
      <c r="L4" s="786"/>
      <c r="M4" s="786"/>
      <c r="N4" s="786"/>
      <c r="O4" s="264"/>
    </row>
    <row r="5" spans="1:15" x14ac:dyDescent="0.25">
      <c r="A5" s="819" t="s">
        <v>15</v>
      </c>
      <c r="B5" s="736" t="s">
        <v>367</v>
      </c>
      <c r="C5" s="786"/>
      <c r="D5" s="820" t="s">
        <v>12</v>
      </c>
      <c r="E5" s="786"/>
      <c r="F5" s="786"/>
      <c r="G5" s="786"/>
      <c r="H5" s="786"/>
      <c r="I5" s="786"/>
      <c r="J5" s="820" t="s">
        <v>8</v>
      </c>
      <c r="K5" s="786"/>
      <c r="L5" s="786"/>
      <c r="M5" s="818" t="s">
        <v>9</v>
      </c>
      <c r="N5" s="790">
        <f>N2*N3</f>
        <v>3.3779399999999997</v>
      </c>
      <c r="O5" s="264"/>
    </row>
    <row r="6" spans="1:15" x14ac:dyDescent="0.25">
      <c r="A6" s="819" t="s">
        <v>7</v>
      </c>
      <c r="B6" t="s">
        <v>376</v>
      </c>
      <c r="C6" s="786"/>
      <c r="D6" s="786"/>
      <c r="E6" s="786"/>
      <c r="F6" s="786"/>
      <c r="G6" s="786"/>
      <c r="H6" s="786"/>
      <c r="I6" s="786"/>
      <c r="J6" s="820" t="s">
        <v>12</v>
      </c>
      <c r="K6" s="786"/>
      <c r="L6" s="786"/>
      <c r="M6" s="786"/>
      <c r="N6" s="786"/>
      <c r="O6" s="264"/>
    </row>
    <row r="7" spans="1:15" x14ac:dyDescent="0.25">
      <c r="A7" s="819" t="s">
        <v>10</v>
      </c>
      <c r="B7" s="16" t="s">
        <v>11</v>
      </c>
      <c r="C7" s="786"/>
      <c r="D7" s="786"/>
      <c r="E7" s="786"/>
      <c r="F7" s="786"/>
      <c r="G7" s="786"/>
      <c r="H7" s="786"/>
      <c r="I7" s="786"/>
      <c r="J7" s="786"/>
      <c r="K7" s="786"/>
      <c r="L7" s="786"/>
      <c r="M7" s="786"/>
      <c r="N7" s="786"/>
      <c r="O7" s="264"/>
    </row>
    <row r="8" spans="1:15" x14ac:dyDescent="0.25">
      <c r="A8" s="819" t="s">
        <v>13</v>
      </c>
      <c r="B8" s="16"/>
      <c r="C8" s="786"/>
      <c r="D8" s="786"/>
      <c r="E8" s="786"/>
      <c r="F8" s="786"/>
      <c r="G8" s="786"/>
      <c r="H8" s="786"/>
      <c r="I8" s="786"/>
      <c r="J8" s="786"/>
      <c r="K8" s="786"/>
      <c r="L8" s="786"/>
      <c r="M8" s="786"/>
      <c r="N8" s="786"/>
      <c r="O8" s="264"/>
    </row>
    <row r="9" spans="1:15" x14ac:dyDescent="0.25">
      <c r="A9" s="792"/>
      <c r="B9" s="786"/>
      <c r="C9" s="786"/>
      <c r="D9" s="786"/>
      <c r="E9" s="786"/>
      <c r="F9" s="786"/>
      <c r="G9" s="786"/>
      <c r="H9" s="786"/>
      <c r="I9" s="786"/>
      <c r="J9" s="786"/>
      <c r="K9" s="786"/>
      <c r="L9" s="786"/>
      <c r="M9" s="786"/>
      <c r="N9" s="786"/>
      <c r="O9" s="264"/>
    </row>
    <row r="10" spans="1:15" x14ac:dyDescent="0.25">
      <c r="A10" s="821" t="s">
        <v>14</v>
      </c>
      <c r="B10" s="822" t="s">
        <v>19</v>
      </c>
      <c r="C10" s="822" t="s">
        <v>20</v>
      </c>
      <c r="D10" s="823" t="s">
        <v>21</v>
      </c>
      <c r="E10" s="823" t="s">
        <v>22</v>
      </c>
      <c r="F10" s="823" t="s">
        <v>23</v>
      </c>
      <c r="G10" s="823" t="s">
        <v>24</v>
      </c>
      <c r="H10" s="823" t="s">
        <v>25</v>
      </c>
      <c r="I10" s="823" t="s">
        <v>26</v>
      </c>
      <c r="J10" s="823" t="s">
        <v>27</v>
      </c>
      <c r="K10" s="823" t="s">
        <v>28</v>
      </c>
      <c r="L10" s="823" t="s">
        <v>29</v>
      </c>
      <c r="M10" s="823" t="s">
        <v>17</v>
      </c>
      <c r="N10" s="823" t="s">
        <v>18</v>
      </c>
      <c r="O10" s="264"/>
    </row>
    <row r="11" spans="1:15" x14ac:dyDescent="0.25">
      <c r="A11" s="824">
        <v>10</v>
      </c>
      <c r="B11" s="766" t="s">
        <v>301</v>
      </c>
      <c r="C11" s="825" t="s">
        <v>302</v>
      </c>
      <c r="D11" s="798">
        <v>2.25</v>
      </c>
      <c r="E11" s="799">
        <f>J11*K11*L11</f>
        <v>0.36423999999999995</v>
      </c>
      <c r="F11" s="800" t="s">
        <v>141</v>
      </c>
      <c r="G11" s="800"/>
      <c r="H11" s="801"/>
      <c r="I11" s="802" t="s">
        <v>377</v>
      </c>
      <c r="J11" s="802">
        <f>50*58*10^-6</f>
        <v>2.8999999999999998E-3</v>
      </c>
      <c r="K11" s="803">
        <v>1.6E-2</v>
      </c>
      <c r="L11" s="804">
        <v>7850</v>
      </c>
      <c r="M11" s="804">
        <v>1</v>
      </c>
      <c r="N11" s="798">
        <f>D11*E11*M11</f>
        <v>0.81953999999999994</v>
      </c>
      <c r="O11" s="264"/>
    </row>
    <row r="12" spans="1:15" x14ac:dyDescent="0.25">
      <c r="A12" s="805"/>
      <c r="B12" s="806"/>
      <c r="C12" s="806"/>
      <c r="D12" s="806"/>
      <c r="E12" s="806"/>
      <c r="F12" s="806"/>
      <c r="G12" s="806"/>
      <c r="H12" s="806"/>
      <c r="I12" s="806"/>
      <c r="J12" s="806"/>
      <c r="K12" s="806"/>
      <c r="L12" s="806"/>
      <c r="M12" s="826" t="s">
        <v>18</v>
      </c>
      <c r="N12" s="827">
        <f>N11</f>
        <v>0.81953999999999994</v>
      </c>
      <c r="O12" s="264"/>
    </row>
    <row r="13" spans="1:15" x14ac:dyDescent="0.25">
      <c r="A13" s="792"/>
      <c r="B13" s="786"/>
      <c r="C13" s="786"/>
      <c r="D13" s="786"/>
      <c r="E13" s="786"/>
      <c r="F13" s="786"/>
      <c r="G13" s="786"/>
      <c r="H13" s="786"/>
      <c r="I13" s="786"/>
      <c r="J13" s="786"/>
      <c r="K13" s="786"/>
      <c r="L13" s="786"/>
      <c r="M13" s="786"/>
      <c r="N13" s="786"/>
      <c r="O13" s="264"/>
    </row>
    <row r="14" spans="1:15" x14ac:dyDescent="0.25">
      <c r="A14" s="828" t="s">
        <v>14</v>
      </c>
      <c r="B14" s="823" t="s">
        <v>31</v>
      </c>
      <c r="C14" s="823" t="s">
        <v>20</v>
      </c>
      <c r="D14" s="823" t="s">
        <v>21</v>
      </c>
      <c r="E14" s="823" t="s">
        <v>32</v>
      </c>
      <c r="F14" s="823" t="s">
        <v>17</v>
      </c>
      <c r="G14" s="823" t="s">
        <v>33</v>
      </c>
      <c r="H14" s="823" t="s">
        <v>34</v>
      </c>
      <c r="I14" s="823" t="s">
        <v>18</v>
      </c>
      <c r="J14" s="806"/>
      <c r="K14" s="806"/>
      <c r="L14" s="806"/>
      <c r="M14" s="806"/>
      <c r="N14" s="806"/>
      <c r="O14" s="264"/>
    </row>
    <row r="15" spans="1:15" x14ac:dyDescent="0.25">
      <c r="A15" s="809">
        <v>10</v>
      </c>
      <c r="B15" s="800" t="s">
        <v>344</v>
      </c>
      <c r="C15" s="800" t="s">
        <v>345</v>
      </c>
      <c r="D15" s="798">
        <v>1.3</v>
      </c>
      <c r="E15" s="800" t="s">
        <v>35</v>
      </c>
      <c r="F15" s="800">
        <v>1</v>
      </c>
      <c r="G15" s="800" t="s">
        <v>378</v>
      </c>
      <c r="H15" s="800">
        <v>0.5</v>
      </c>
      <c r="I15" s="798">
        <f>D15*F15*H15</f>
        <v>0.65</v>
      </c>
      <c r="J15" s="786"/>
      <c r="K15" s="786"/>
      <c r="L15" s="786"/>
      <c r="M15" s="786"/>
      <c r="N15" s="786"/>
      <c r="O15" s="264"/>
    </row>
    <row r="16" spans="1:15" x14ac:dyDescent="0.25">
      <c r="A16" s="809">
        <v>20</v>
      </c>
      <c r="B16" s="800" t="s">
        <v>347</v>
      </c>
      <c r="C16" s="800" t="s">
        <v>348</v>
      </c>
      <c r="D16" s="798">
        <v>0.01</v>
      </c>
      <c r="E16" s="800" t="s">
        <v>40</v>
      </c>
      <c r="F16" s="800">
        <v>20</v>
      </c>
      <c r="G16" s="800" t="s">
        <v>339</v>
      </c>
      <c r="H16" s="800">
        <v>3</v>
      </c>
      <c r="I16" s="798">
        <f>D16*F16*H16</f>
        <v>0.60000000000000009</v>
      </c>
      <c r="J16" s="786"/>
      <c r="K16" s="786"/>
      <c r="L16" s="786"/>
      <c r="M16" s="786"/>
      <c r="N16" s="786"/>
      <c r="O16" s="264"/>
    </row>
    <row r="17" spans="1:15" x14ac:dyDescent="0.25">
      <c r="A17" s="809">
        <v>30</v>
      </c>
      <c r="B17" s="800" t="s">
        <v>39</v>
      </c>
      <c r="C17" s="800"/>
      <c r="D17" s="798">
        <v>1.3</v>
      </c>
      <c r="E17" s="800" t="s">
        <v>35</v>
      </c>
      <c r="F17" s="800">
        <v>1</v>
      </c>
      <c r="G17" s="800"/>
      <c r="H17" s="800"/>
      <c r="I17" s="798">
        <v>1.3</v>
      </c>
      <c r="J17" s="806"/>
      <c r="K17" s="806"/>
      <c r="L17" s="806"/>
      <c r="M17" s="806"/>
      <c r="N17" s="806"/>
      <c r="O17" s="264"/>
    </row>
    <row r="18" spans="1:15" x14ac:dyDescent="0.25">
      <c r="A18" s="809">
        <v>40</v>
      </c>
      <c r="B18" s="800" t="s">
        <v>353</v>
      </c>
      <c r="C18" s="800" t="s">
        <v>335</v>
      </c>
      <c r="D18" s="798">
        <v>0.04</v>
      </c>
      <c r="E18" s="800" t="s">
        <v>93</v>
      </c>
      <c r="F18" s="800">
        <v>7.0000000000000007E-2</v>
      </c>
      <c r="G18" s="800" t="s">
        <v>339</v>
      </c>
      <c r="H18" s="800">
        <v>3</v>
      </c>
      <c r="I18" s="798">
        <f>D18*F18*H18</f>
        <v>8.4000000000000012E-3</v>
      </c>
      <c r="J18" s="786"/>
      <c r="K18" s="786"/>
      <c r="L18" s="786"/>
      <c r="M18" s="786"/>
      <c r="N18" s="786"/>
      <c r="O18" s="264"/>
    </row>
    <row r="19" spans="1:15" x14ac:dyDescent="0.25">
      <c r="A19" s="805"/>
      <c r="B19" s="806"/>
      <c r="C19" s="806"/>
      <c r="D19" s="806"/>
      <c r="E19" s="806"/>
      <c r="F19" s="806"/>
      <c r="G19" s="806"/>
      <c r="H19" s="826" t="s">
        <v>18</v>
      </c>
      <c r="I19" s="829">
        <f>SUM(I15:I18)</f>
        <v>2.5583999999999998</v>
      </c>
      <c r="J19" s="56"/>
      <c r="K19" s="56"/>
      <c r="L19" s="56"/>
      <c r="M19" s="56"/>
      <c r="N19" s="56"/>
      <c r="O19" s="264"/>
    </row>
    <row r="20" spans="1:15" x14ac:dyDescent="0.25">
      <c r="A20" s="792"/>
      <c r="B20" s="786"/>
      <c r="C20" s="786"/>
      <c r="D20" s="786"/>
      <c r="E20" s="786"/>
      <c r="F20" s="786"/>
      <c r="G20" s="786"/>
      <c r="H20" s="789"/>
      <c r="I20" s="790"/>
      <c r="J20" s="56"/>
      <c r="K20" s="56"/>
      <c r="L20" s="56"/>
      <c r="M20" s="56"/>
      <c r="N20" s="56"/>
      <c r="O20" s="264"/>
    </row>
    <row r="21" spans="1:15" ht="15.75" thickBot="1" x14ac:dyDescent="0.3">
      <c r="A21" s="284"/>
      <c r="B21" s="285"/>
      <c r="C21" s="285"/>
      <c r="D21" s="285"/>
      <c r="E21" s="285"/>
      <c r="F21" s="285"/>
      <c r="G21" s="285"/>
      <c r="H21" s="285"/>
      <c r="I21" s="285"/>
      <c r="J21" s="285"/>
      <c r="K21" s="285"/>
      <c r="L21" s="285"/>
      <c r="M21" s="285"/>
      <c r="N21" s="285"/>
      <c r="O21" s="286"/>
    </row>
  </sheetData>
  <hyperlinks>
    <hyperlink ref="F2" location="BOM!A1" display="Back to BOM" xr:uid="{00000000-0004-0000-6500-000000000000}"/>
    <hyperlink ref="B4" location="SU_A0800" display="SU_A0800" xr:uid="{00000000-0004-0000-65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4" fitToHeight="99" orientation="landscape" r:id="rId1"/>
  <headerFooter>
    <oddFooter>Page &amp;P</oddFooter>
  </headerFooter>
  <drawing r:id="rId2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600-000000000000}">
  <sheetPr>
    <tabColor rgb="FFFFFF00"/>
    <pageSetUpPr fitToPage="1"/>
  </sheetPr>
  <dimension ref="A1:O49"/>
  <sheetViews>
    <sheetView topLeftCell="A12" zoomScale="115" zoomScaleNormal="115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35.28515625" customWidth="1"/>
    <col min="3" max="3" width="45.85546875" customWidth="1"/>
    <col min="14" max="14" width="13" bestFit="1" customWidth="1"/>
    <col min="15" max="15" width="5.28515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 t="e">
        <f>SU_A1400_pa+SU_A1400_m+SU_A1400_p+SU_A1400_f</f>
        <v>#NAME?</v>
      </c>
      <c r="O2" s="62"/>
    </row>
    <row r="3" spans="1:15" x14ac:dyDescent="0.25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25">
      <c r="A4" s="95" t="s">
        <v>5</v>
      </c>
      <c r="B4" s="57" t="s">
        <v>547</v>
      </c>
      <c r="C4" s="704"/>
      <c r="D4" s="56"/>
      <c r="E4" s="56"/>
      <c r="F4" s="56"/>
      <c r="G4" s="56"/>
      <c r="H4" s="56"/>
      <c r="I4" s="56"/>
      <c r="J4" s="958" t="s">
        <v>6</v>
      </c>
      <c r="K4" s="56"/>
      <c r="L4" s="56"/>
      <c r="M4" s="56"/>
      <c r="N4" s="56"/>
      <c r="O4" s="62"/>
    </row>
    <row r="5" spans="1:15" x14ac:dyDescent="0.25">
      <c r="A5" s="95" t="s">
        <v>7</v>
      </c>
      <c r="B5" s="18" t="s">
        <v>417</v>
      </c>
      <c r="C5" s="56"/>
      <c r="D5" s="56"/>
      <c r="E5" s="56"/>
      <c r="F5" s="56"/>
      <c r="G5" s="56"/>
      <c r="H5" s="56"/>
      <c r="I5" s="56"/>
      <c r="J5" s="958" t="s">
        <v>8</v>
      </c>
      <c r="K5" s="56"/>
      <c r="L5" s="56"/>
      <c r="M5" s="95" t="s">
        <v>9</v>
      </c>
      <c r="N5" s="80" t="e">
        <f>N2*SU_A1400_q</f>
        <v>#NAME?</v>
      </c>
      <c r="O5" s="62"/>
    </row>
    <row r="6" spans="1:15" x14ac:dyDescent="0.25">
      <c r="A6" s="95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58" t="s">
        <v>12</v>
      </c>
      <c r="K6" s="56"/>
      <c r="L6" s="56"/>
      <c r="M6" s="56"/>
      <c r="N6" s="56"/>
      <c r="O6" s="62"/>
    </row>
    <row r="7" spans="1:15" x14ac:dyDescent="0.25">
      <c r="A7" s="95" t="s">
        <v>13</v>
      </c>
      <c r="B7" s="16" t="s">
        <v>421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633" t="s">
        <v>14</v>
      </c>
      <c r="B9" s="633" t="s">
        <v>15</v>
      </c>
      <c r="C9" s="633" t="s">
        <v>16</v>
      </c>
      <c r="D9" s="633" t="s">
        <v>17</v>
      </c>
      <c r="E9" s="633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671">
        <v>10</v>
      </c>
      <c r="B10" s="708" t="s">
        <v>402</v>
      </c>
      <c r="C10" s="277">
        <f>'SU 09001'!N2</f>
        <v>9.0687098494115101</v>
      </c>
      <c r="D10" s="832">
        <v>1</v>
      </c>
      <c r="E10" s="277">
        <f>C10*D10</f>
        <v>9.0687098494115101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25">
      <c r="A11" s="671">
        <v>20</v>
      </c>
      <c r="B11" s="708" t="s">
        <v>401</v>
      </c>
      <c r="C11" s="277">
        <f>'SU 09002'!N2</f>
        <v>1.5833945082514056</v>
      </c>
      <c r="D11" s="832">
        <v>2</v>
      </c>
      <c r="E11" s="277">
        <f>C11*D11</f>
        <v>3.1667890165028112</v>
      </c>
      <c r="F11" s="56"/>
      <c r="G11" s="56"/>
      <c r="H11" s="56"/>
      <c r="I11" s="56"/>
      <c r="J11" s="56"/>
      <c r="K11" s="56"/>
      <c r="L11" s="56"/>
      <c r="M11" s="56"/>
      <c r="N11" s="56"/>
      <c r="O11" s="62"/>
    </row>
    <row r="12" spans="1:15" x14ac:dyDescent="0.25">
      <c r="A12" s="671">
        <v>30</v>
      </c>
      <c r="B12" s="1037" t="str">
        <f>'SU 09003'!B5</f>
        <v>Spacer 1</v>
      </c>
      <c r="C12" s="277">
        <f>'SU 09004'!N2</f>
        <v>1.0636402027397729</v>
      </c>
      <c r="D12" s="833">
        <v>2</v>
      </c>
      <c r="E12" s="277">
        <f>C12*D12</f>
        <v>2.1272804054795458</v>
      </c>
      <c r="F12" s="57"/>
      <c r="G12" s="57"/>
      <c r="H12" s="57"/>
      <c r="I12" s="57"/>
      <c r="J12" s="57"/>
      <c r="K12" s="57"/>
      <c r="L12" s="57"/>
      <c r="M12" s="57"/>
      <c r="N12" s="57"/>
      <c r="O12" s="64"/>
    </row>
    <row r="13" spans="1:15" x14ac:dyDescent="0.25">
      <c r="A13" s="671">
        <v>40</v>
      </c>
      <c r="B13" s="1037" t="str">
        <f>'SU 09004'!B5</f>
        <v>Spacer 2</v>
      </c>
      <c r="C13" s="277">
        <f>'SU 09003'!N2</f>
        <v>0.23905539548753352</v>
      </c>
      <c r="D13" s="671">
        <v>2</v>
      </c>
      <c r="E13" s="277">
        <f>C13*D13</f>
        <v>0.47811079097506703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x14ac:dyDescent="0.25">
      <c r="A14" s="63"/>
      <c r="B14" s="56"/>
      <c r="C14" s="56"/>
      <c r="D14" s="259" t="s">
        <v>18</v>
      </c>
      <c r="E14" s="238">
        <f>SUM(E10:E13)</f>
        <v>14.840890062368935</v>
      </c>
      <c r="F14" s="57"/>
      <c r="G14" s="57"/>
      <c r="H14" s="57"/>
      <c r="I14" s="57"/>
      <c r="J14" s="57"/>
      <c r="K14" s="57"/>
      <c r="L14" s="57"/>
      <c r="M14" s="57"/>
      <c r="N14" s="57"/>
      <c r="O14" s="62"/>
    </row>
    <row r="15" spans="1:15" x14ac:dyDescent="0.25">
      <c r="A15" s="63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62"/>
    </row>
    <row r="16" spans="1:15" x14ac:dyDescent="0.25">
      <c r="A16" s="95" t="s">
        <v>14</v>
      </c>
      <c r="B16" s="95" t="s">
        <v>19</v>
      </c>
      <c r="C16" s="95" t="s">
        <v>20</v>
      </c>
      <c r="D16" s="95" t="s">
        <v>21</v>
      </c>
      <c r="E16" s="95" t="s">
        <v>22</v>
      </c>
      <c r="F16" s="95" t="s">
        <v>23</v>
      </c>
      <c r="G16" s="95" t="s">
        <v>24</v>
      </c>
      <c r="H16" s="95" t="s">
        <v>25</v>
      </c>
      <c r="I16" s="95" t="s">
        <v>26</v>
      </c>
      <c r="J16" s="95" t="s">
        <v>27</v>
      </c>
      <c r="K16" s="95" t="s">
        <v>28</v>
      </c>
      <c r="L16" s="95" t="s">
        <v>29</v>
      </c>
      <c r="M16" s="95" t="s">
        <v>17</v>
      </c>
      <c r="N16" s="95" t="s">
        <v>18</v>
      </c>
      <c r="O16" s="62"/>
    </row>
    <row r="17" spans="1:15" x14ac:dyDescent="0.25">
      <c r="A17" s="72">
        <v>10</v>
      </c>
      <c r="B17" s="876" t="s">
        <v>399</v>
      </c>
      <c r="C17" s="876" t="s">
        <v>400</v>
      </c>
      <c r="D17" s="272">
        <f>0.02*E17^2+1.22</f>
        <v>2.5</v>
      </c>
      <c r="E17" s="876">
        <v>8</v>
      </c>
      <c r="F17" s="876" t="s">
        <v>30</v>
      </c>
      <c r="G17" s="876"/>
      <c r="H17" s="874"/>
      <c r="I17" s="877" t="s">
        <v>397</v>
      </c>
      <c r="J17" s="872"/>
      <c r="K17" s="874"/>
      <c r="L17" s="874"/>
      <c r="M17" s="872">
        <v>1</v>
      </c>
      <c r="N17" s="274">
        <f>D17*M17</f>
        <v>2.5</v>
      </c>
      <c r="O17" s="62"/>
    </row>
    <row r="18" spans="1:15" s="22" customFormat="1" x14ac:dyDescent="0.25">
      <c r="A18" s="72">
        <v>20</v>
      </c>
      <c r="B18" s="876" t="s">
        <v>399</v>
      </c>
      <c r="C18" s="876" t="s">
        <v>398</v>
      </c>
      <c r="D18" s="272">
        <f>0.02*E18^2+1.22</f>
        <v>2.5</v>
      </c>
      <c r="E18" s="876">
        <v>8</v>
      </c>
      <c r="F18" s="876" t="s">
        <v>30</v>
      </c>
      <c r="G18" s="876"/>
      <c r="H18" s="874"/>
      <c r="I18" s="875" t="s">
        <v>397</v>
      </c>
      <c r="J18" s="872"/>
      <c r="K18" s="874"/>
      <c r="L18" s="873"/>
      <c r="M18" s="872">
        <v>1</v>
      </c>
      <c r="N18" s="274">
        <f>D18*M18</f>
        <v>2.5</v>
      </c>
      <c r="O18" s="66"/>
    </row>
    <row r="19" spans="1:15" x14ac:dyDescent="0.25">
      <c r="A19" s="67"/>
      <c r="B19" s="871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5" t="s">
        <v>18</v>
      </c>
      <c r="N19" s="97">
        <f>SUM(N17:N18)</f>
        <v>5</v>
      </c>
      <c r="O19" s="62"/>
    </row>
    <row r="20" spans="1:15" x14ac:dyDescent="0.25">
      <c r="A20" s="63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62"/>
    </row>
    <row r="21" spans="1:15" s="25" customFormat="1" x14ac:dyDescent="0.25">
      <c r="A21" s="95" t="s">
        <v>14</v>
      </c>
      <c r="B21" s="95" t="s">
        <v>31</v>
      </c>
      <c r="C21" s="95" t="s">
        <v>20</v>
      </c>
      <c r="D21" s="95" t="s">
        <v>21</v>
      </c>
      <c r="E21" s="95" t="s">
        <v>32</v>
      </c>
      <c r="F21" s="95" t="s">
        <v>17</v>
      </c>
      <c r="G21" s="95" t="s">
        <v>33</v>
      </c>
      <c r="H21" s="95" t="s">
        <v>34</v>
      </c>
      <c r="I21" s="95" t="s">
        <v>18</v>
      </c>
      <c r="J21" s="24"/>
      <c r="K21" s="24"/>
      <c r="L21" s="24"/>
      <c r="M21" s="24"/>
      <c r="N21" s="24"/>
      <c r="O21" s="68"/>
    </row>
    <row r="22" spans="1:15" x14ac:dyDescent="0.25">
      <c r="A22" s="72">
        <v>10</v>
      </c>
      <c r="B22" s="276" t="s">
        <v>76</v>
      </c>
      <c r="C22" s="869" t="s">
        <v>155</v>
      </c>
      <c r="D22" s="273">
        <v>0.02</v>
      </c>
      <c r="E22" s="869" t="s">
        <v>74</v>
      </c>
      <c r="F22" s="867">
        <v>6.6</v>
      </c>
      <c r="G22" s="870"/>
      <c r="H22" s="867">
        <v>1</v>
      </c>
      <c r="I22" s="273">
        <f t="shared" ref="I22:I37" si="0">D22*F22*H22</f>
        <v>0.13200000000000001</v>
      </c>
      <c r="J22" s="56"/>
      <c r="K22" s="56"/>
      <c r="L22" s="56"/>
      <c r="M22" s="56"/>
      <c r="N22" s="56"/>
      <c r="O22" s="62"/>
    </row>
    <row r="23" spans="1:15" x14ac:dyDescent="0.25">
      <c r="A23" s="72">
        <f t="shared" ref="A23:A37" si="1">A22+10</f>
        <v>20</v>
      </c>
      <c r="B23" s="276" t="s">
        <v>76</v>
      </c>
      <c r="C23" s="869" t="s">
        <v>396</v>
      </c>
      <c r="D23" s="273">
        <v>0.02</v>
      </c>
      <c r="E23" s="869" t="s">
        <v>74</v>
      </c>
      <c r="F23" s="867">
        <v>6.6</v>
      </c>
      <c r="G23" s="867"/>
      <c r="H23" s="867">
        <v>1</v>
      </c>
      <c r="I23" s="273">
        <f t="shared" si="0"/>
        <v>0.13200000000000001</v>
      </c>
      <c r="J23" s="56"/>
      <c r="K23" s="56"/>
      <c r="L23" s="56"/>
      <c r="M23" s="56"/>
      <c r="N23" s="56"/>
      <c r="O23" s="62"/>
    </row>
    <row r="24" spans="1:15" x14ac:dyDescent="0.25">
      <c r="A24" s="72">
        <f t="shared" si="1"/>
        <v>30</v>
      </c>
      <c r="B24" s="868" t="s">
        <v>395</v>
      </c>
      <c r="C24" s="866" t="s">
        <v>394</v>
      </c>
      <c r="D24" s="74">
        <v>0.02</v>
      </c>
      <c r="E24" s="866" t="s">
        <v>393</v>
      </c>
      <c r="F24" s="867">
        <v>6.6</v>
      </c>
      <c r="G24" s="866"/>
      <c r="H24" s="866">
        <v>1</v>
      </c>
      <c r="I24" s="273">
        <f t="shared" si="0"/>
        <v>0.13200000000000001</v>
      </c>
      <c r="J24" s="56"/>
      <c r="K24" s="56"/>
      <c r="L24" s="56"/>
      <c r="M24" s="56"/>
      <c r="N24" s="56"/>
      <c r="O24" s="62"/>
    </row>
    <row r="25" spans="1:15" x14ac:dyDescent="0.25">
      <c r="A25" s="72">
        <f t="shared" si="1"/>
        <v>40</v>
      </c>
      <c r="B25" s="249" t="s">
        <v>289</v>
      </c>
      <c r="C25" s="864" t="s">
        <v>392</v>
      </c>
      <c r="D25" s="74">
        <v>0.12</v>
      </c>
      <c r="E25" s="72" t="s">
        <v>35</v>
      </c>
      <c r="F25" s="72">
        <v>2</v>
      </c>
      <c r="G25" s="72"/>
      <c r="H25" s="72">
        <v>1</v>
      </c>
      <c r="I25" s="273">
        <f t="shared" si="0"/>
        <v>0.24</v>
      </c>
      <c r="J25" s="56"/>
      <c r="K25" s="56"/>
      <c r="L25" s="56"/>
      <c r="M25" s="56"/>
      <c r="N25" s="56"/>
      <c r="O25" s="62"/>
    </row>
    <row r="26" spans="1:15" x14ac:dyDescent="0.25">
      <c r="A26" s="72">
        <f t="shared" si="1"/>
        <v>50</v>
      </c>
      <c r="B26" s="249" t="s">
        <v>391</v>
      </c>
      <c r="C26" s="864" t="s">
        <v>390</v>
      </c>
      <c r="D26" s="74">
        <v>0.5</v>
      </c>
      <c r="E26" s="865" t="s">
        <v>35</v>
      </c>
      <c r="F26" s="72">
        <v>2</v>
      </c>
      <c r="G26" s="72"/>
      <c r="H26" s="72">
        <v>1</v>
      </c>
      <c r="I26" s="273">
        <f t="shared" si="0"/>
        <v>1</v>
      </c>
      <c r="J26" s="56"/>
      <c r="K26" s="56"/>
      <c r="L26" s="56"/>
      <c r="M26" s="56"/>
      <c r="N26" s="56"/>
      <c r="O26" s="62"/>
    </row>
    <row r="27" spans="1:15" x14ac:dyDescent="0.25">
      <c r="A27" s="72">
        <f t="shared" si="1"/>
        <v>60</v>
      </c>
      <c r="B27" s="249" t="s">
        <v>389</v>
      </c>
      <c r="C27" s="864" t="s">
        <v>293</v>
      </c>
      <c r="D27" s="74">
        <v>1.5</v>
      </c>
      <c r="E27" s="72" t="s">
        <v>35</v>
      </c>
      <c r="F27" s="72">
        <v>2</v>
      </c>
      <c r="G27" s="72"/>
      <c r="H27" s="72">
        <v>1</v>
      </c>
      <c r="I27" s="273">
        <f t="shared" si="0"/>
        <v>3</v>
      </c>
      <c r="J27" s="56"/>
      <c r="K27" s="56"/>
      <c r="L27" s="56"/>
      <c r="M27" s="56"/>
      <c r="N27" s="56"/>
      <c r="O27" s="62"/>
    </row>
    <row r="28" spans="1:15" x14ac:dyDescent="0.25">
      <c r="A28" s="72">
        <f t="shared" si="1"/>
        <v>70</v>
      </c>
      <c r="B28" s="249" t="s">
        <v>294</v>
      </c>
      <c r="C28" s="864" t="s">
        <v>293</v>
      </c>
      <c r="D28" s="74">
        <v>0.25</v>
      </c>
      <c r="E28" s="72" t="s">
        <v>35</v>
      </c>
      <c r="F28" s="72">
        <v>2</v>
      </c>
      <c r="G28" s="72"/>
      <c r="H28" s="72">
        <v>1</v>
      </c>
      <c r="I28" s="273">
        <f t="shared" si="0"/>
        <v>0.5</v>
      </c>
      <c r="J28" s="56"/>
      <c r="K28" s="56"/>
      <c r="L28" s="56"/>
      <c r="M28" s="56"/>
      <c r="N28" s="56"/>
      <c r="O28" s="62"/>
    </row>
    <row r="29" spans="1:15" x14ac:dyDescent="0.25">
      <c r="A29" s="72">
        <f t="shared" si="1"/>
        <v>80</v>
      </c>
      <c r="B29" s="864" t="s">
        <v>286</v>
      </c>
      <c r="C29" s="864" t="s">
        <v>388</v>
      </c>
      <c r="D29" s="863">
        <v>0.06</v>
      </c>
      <c r="E29" s="862" t="s">
        <v>35</v>
      </c>
      <c r="F29" s="862">
        <v>2</v>
      </c>
      <c r="G29" s="862"/>
      <c r="H29" s="862">
        <v>1</v>
      </c>
      <c r="I29" s="273">
        <f t="shared" si="0"/>
        <v>0.12</v>
      </c>
      <c r="J29" s="56"/>
      <c r="K29" s="56"/>
      <c r="L29" s="56"/>
      <c r="M29" s="56"/>
      <c r="N29" s="56"/>
      <c r="O29" s="62"/>
    </row>
    <row r="30" spans="1:15" x14ac:dyDescent="0.25">
      <c r="A30" s="72">
        <f t="shared" si="1"/>
        <v>90</v>
      </c>
      <c r="B30" s="864" t="s">
        <v>286</v>
      </c>
      <c r="C30" s="864" t="s">
        <v>325</v>
      </c>
      <c r="D30" s="863">
        <v>0.06</v>
      </c>
      <c r="E30" s="862" t="s">
        <v>35</v>
      </c>
      <c r="F30" s="862">
        <v>2</v>
      </c>
      <c r="G30" s="862"/>
      <c r="H30" s="862">
        <v>1</v>
      </c>
      <c r="I30" s="273">
        <f t="shared" si="0"/>
        <v>0.12</v>
      </c>
      <c r="J30" s="56"/>
      <c r="K30" s="56"/>
      <c r="L30" s="56"/>
      <c r="M30" s="56"/>
      <c r="N30" s="56"/>
      <c r="O30" s="62"/>
    </row>
    <row r="31" spans="1:15" x14ac:dyDescent="0.25">
      <c r="A31" s="72">
        <f t="shared" si="1"/>
        <v>100</v>
      </c>
      <c r="B31" s="249" t="s">
        <v>289</v>
      </c>
      <c r="C31" s="864" t="s">
        <v>387</v>
      </c>
      <c r="D31" s="863">
        <v>0.12</v>
      </c>
      <c r="E31" s="862" t="s">
        <v>35</v>
      </c>
      <c r="F31" s="862">
        <v>1</v>
      </c>
      <c r="G31" s="862"/>
      <c r="H31" s="862">
        <v>1</v>
      </c>
      <c r="I31" s="273">
        <f t="shared" si="0"/>
        <v>0.12</v>
      </c>
      <c r="J31" s="56"/>
      <c r="K31" s="56"/>
      <c r="L31" s="56"/>
      <c r="M31" s="56"/>
      <c r="N31" s="56"/>
      <c r="O31" s="62"/>
    </row>
    <row r="32" spans="1:15" x14ac:dyDescent="0.25">
      <c r="A32" s="72">
        <f t="shared" si="1"/>
        <v>110</v>
      </c>
      <c r="B32" s="862" t="s">
        <v>286</v>
      </c>
      <c r="C32" s="864" t="s">
        <v>386</v>
      </c>
      <c r="D32" s="863">
        <v>0.06</v>
      </c>
      <c r="E32" s="862" t="s">
        <v>35</v>
      </c>
      <c r="F32" s="862">
        <v>2</v>
      </c>
      <c r="G32" s="862"/>
      <c r="H32" s="862">
        <v>1</v>
      </c>
      <c r="I32" s="273">
        <f t="shared" si="0"/>
        <v>0.12</v>
      </c>
      <c r="J32" s="56"/>
      <c r="K32" s="56"/>
      <c r="L32" s="56"/>
      <c r="M32" s="56"/>
      <c r="N32" s="56"/>
      <c r="O32" s="62"/>
    </row>
    <row r="33" spans="1:15" s="17" customFormat="1" x14ac:dyDescent="0.25">
      <c r="A33" s="72">
        <f t="shared" si="1"/>
        <v>120</v>
      </c>
      <c r="B33" s="862" t="s">
        <v>286</v>
      </c>
      <c r="C33" s="864" t="s">
        <v>385</v>
      </c>
      <c r="D33" s="863">
        <v>0.06</v>
      </c>
      <c r="E33" s="862" t="s">
        <v>35</v>
      </c>
      <c r="F33" s="862">
        <v>2</v>
      </c>
      <c r="G33" s="862"/>
      <c r="H33" s="862">
        <v>1</v>
      </c>
      <c r="I33" s="273">
        <f t="shared" si="0"/>
        <v>0.12</v>
      </c>
      <c r="J33" s="57"/>
      <c r="K33" s="57"/>
      <c r="L33" s="57"/>
      <c r="M33" s="57"/>
      <c r="N33" s="57"/>
      <c r="O33" s="65"/>
    </row>
    <row r="34" spans="1:15" s="25" customFormat="1" x14ac:dyDescent="0.25">
      <c r="A34" s="72">
        <f t="shared" si="1"/>
        <v>130</v>
      </c>
      <c r="B34" s="249" t="s">
        <v>289</v>
      </c>
      <c r="C34" s="864" t="s">
        <v>384</v>
      </c>
      <c r="D34" s="863">
        <v>0.12</v>
      </c>
      <c r="E34" s="862" t="s">
        <v>35</v>
      </c>
      <c r="F34" s="862">
        <v>1</v>
      </c>
      <c r="G34" s="862"/>
      <c r="H34" s="862">
        <v>1</v>
      </c>
      <c r="I34" s="273">
        <f t="shared" si="0"/>
        <v>0.12</v>
      </c>
      <c r="J34" s="57"/>
      <c r="K34" s="57"/>
      <c r="L34" s="57"/>
      <c r="M34" s="57"/>
      <c r="N34" s="57"/>
      <c r="O34" s="68"/>
    </row>
    <row r="35" spans="1:15" s="25" customFormat="1" x14ac:dyDescent="0.25">
      <c r="A35" s="72">
        <f t="shared" si="1"/>
        <v>140</v>
      </c>
      <c r="B35" s="249" t="s">
        <v>289</v>
      </c>
      <c r="C35" s="864" t="s">
        <v>291</v>
      </c>
      <c r="D35" s="863">
        <v>0.12</v>
      </c>
      <c r="E35" s="862" t="s">
        <v>35</v>
      </c>
      <c r="F35" s="862">
        <v>2</v>
      </c>
      <c r="G35" s="862"/>
      <c r="H35" s="862">
        <v>1</v>
      </c>
      <c r="I35" s="273">
        <f t="shared" si="0"/>
        <v>0.24</v>
      </c>
      <c r="J35" s="57"/>
      <c r="K35" s="57"/>
      <c r="L35" s="57"/>
      <c r="M35" s="57"/>
      <c r="N35" s="57"/>
      <c r="O35" s="68"/>
    </row>
    <row r="36" spans="1:15" s="17" customFormat="1" ht="14.45" customHeight="1" x14ac:dyDescent="0.25">
      <c r="A36" s="72">
        <f t="shared" si="1"/>
        <v>150</v>
      </c>
      <c r="B36" s="249" t="s">
        <v>292</v>
      </c>
      <c r="C36" s="864" t="s">
        <v>293</v>
      </c>
      <c r="D36" s="863">
        <v>0.75</v>
      </c>
      <c r="E36" s="862" t="s">
        <v>35</v>
      </c>
      <c r="F36" s="862">
        <v>2</v>
      </c>
      <c r="G36" s="862"/>
      <c r="H36" s="862">
        <v>1</v>
      </c>
      <c r="I36" s="273">
        <f t="shared" si="0"/>
        <v>1.5</v>
      </c>
      <c r="J36" s="57"/>
      <c r="K36" s="57"/>
      <c r="L36" s="57"/>
      <c r="M36" s="57"/>
      <c r="N36" s="57"/>
      <c r="O36" s="65"/>
    </row>
    <row r="37" spans="1:15" s="17" customFormat="1" ht="14.45" customHeight="1" x14ac:dyDescent="0.25">
      <c r="A37" s="72">
        <f t="shared" si="1"/>
        <v>160</v>
      </c>
      <c r="B37" s="249" t="s">
        <v>294</v>
      </c>
      <c r="C37" s="864" t="s">
        <v>293</v>
      </c>
      <c r="D37" s="863">
        <v>0.25</v>
      </c>
      <c r="E37" s="862" t="s">
        <v>35</v>
      </c>
      <c r="F37" s="862">
        <v>2</v>
      </c>
      <c r="G37" s="862"/>
      <c r="H37" s="862">
        <v>1</v>
      </c>
      <c r="I37" s="273">
        <f t="shared" si="0"/>
        <v>0.5</v>
      </c>
      <c r="J37" s="57"/>
      <c r="K37" s="57"/>
      <c r="L37" s="57"/>
      <c r="M37" s="57"/>
      <c r="N37" s="57"/>
      <c r="O37" s="65"/>
    </row>
    <row r="38" spans="1:15" x14ac:dyDescent="0.25">
      <c r="A38" s="67"/>
      <c r="B38" s="24"/>
      <c r="C38" s="24"/>
      <c r="D38" s="24"/>
      <c r="E38" s="24"/>
      <c r="F38" s="24"/>
      <c r="G38" s="24"/>
      <c r="H38" s="98" t="s">
        <v>18</v>
      </c>
      <c r="I38" s="97">
        <f>SUM(I22:I37)</f>
        <v>8.0960000000000001</v>
      </c>
      <c r="J38" s="56"/>
      <c r="K38" s="56"/>
      <c r="L38" s="56"/>
      <c r="M38" s="56"/>
      <c r="N38" s="56"/>
      <c r="O38" s="62"/>
    </row>
    <row r="39" spans="1:15" x14ac:dyDescent="0.25">
      <c r="A39" s="63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62"/>
    </row>
    <row r="40" spans="1:15" x14ac:dyDescent="0.25">
      <c r="A40" s="95" t="s">
        <v>14</v>
      </c>
      <c r="B40" s="95" t="s">
        <v>36</v>
      </c>
      <c r="C40" s="95" t="s">
        <v>20</v>
      </c>
      <c r="D40" s="95" t="s">
        <v>21</v>
      </c>
      <c r="E40" s="95" t="s">
        <v>22</v>
      </c>
      <c r="F40" s="95" t="s">
        <v>23</v>
      </c>
      <c r="G40" s="95" t="s">
        <v>24</v>
      </c>
      <c r="H40" s="95" t="s">
        <v>25</v>
      </c>
      <c r="I40" s="95" t="s">
        <v>17</v>
      </c>
      <c r="J40" s="95" t="s">
        <v>18</v>
      </c>
      <c r="K40" s="56"/>
      <c r="L40" s="56"/>
      <c r="M40" s="56"/>
      <c r="N40" s="56"/>
      <c r="O40" s="62"/>
    </row>
    <row r="41" spans="1:15" x14ac:dyDescent="0.25">
      <c r="A41" s="72">
        <v>10</v>
      </c>
      <c r="B41" s="72" t="s">
        <v>295</v>
      </c>
      <c r="C41" s="72" t="s">
        <v>383</v>
      </c>
      <c r="D41" s="659">
        <f>0.8/105154*E41^2*G41*SQRT(G41)+0.003*EXP(0.319*E41)</f>
        <v>0.18547981844542938</v>
      </c>
      <c r="E41" s="660">
        <v>8</v>
      </c>
      <c r="F41" s="660" t="s">
        <v>30</v>
      </c>
      <c r="G41" s="660">
        <v>45</v>
      </c>
      <c r="H41" s="660" t="s">
        <v>30</v>
      </c>
      <c r="I41" s="82">
        <v>1</v>
      </c>
      <c r="J41" s="74">
        <f>D41*I41</f>
        <v>0.18547981844542938</v>
      </c>
      <c r="K41" s="56"/>
      <c r="L41" s="56"/>
      <c r="M41" s="56"/>
      <c r="N41" s="56"/>
      <c r="O41" s="62"/>
    </row>
    <row r="42" spans="1:15" x14ac:dyDescent="0.25">
      <c r="A42" s="72">
        <f>A41+10</f>
        <v>20</v>
      </c>
      <c r="B42" s="72" t="s">
        <v>295</v>
      </c>
      <c r="C42" s="72" t="s">
        <v>382</v>
      </c>
      <c r="D42" s="659">
        <f>0.8/105154*E42^2*G42*SQRT(G42)+0.003*EXP(0.319*E42)</f>
        <v>0.18547981844542938</v>
      </c>
      <c r="E42" s="660">
        <v>8</v>
      </c>
      <c r="F42" s="660" t="s">
        <v>30</v>
      </c>
      <c r="G42" s="660">
        <v>45</v>
      </c>
      <c r="H42" s="660" t="s">
        <v>30</v>
      </c>
      <c r="I42" s="82">
        <v>1</v>
      </c>
      <c r="J42" s="74">
        <f>D42*I42</f>
        <v>0.18547981844542938</v>
      </c>
      <c r="K42" s="56"/>
      <c r="L42" s="56"/>
      <c r="M42" s="56"/>
      <c r="N42" s="56"/>
      <c r="O42" s="62"/>
    </row>
    <row r="43" spans="1:15" x14ac:dyDescent="0.25">
      <c r="A43" s="72">
        <f>A42+10</f>
        <v>30</v>
      </c>
      <c r="B43" s="72" t="s">
        <v>297</v>
      </c>
      <c r="C43" s="72"/>
      <c r="D43" s="659">
        <v>0.01</v>
      </c>
      <c r="E43" s="72">
        <v>8</v>
      </c>
      <c r="F43" s="661" t="s">
        <v>35</v>
      </c>
      <c r="G43" s="72"/>
      <c r="H43" s="72"/>
      <c r="I43" s="82">
        <v>4</v>
      </c>
      <c r="J43" s="74">
        <f>D43*I43</f>
        <v>0.04</v>
      </c>
      <c r="K43" s="56"/>
      <c r="L43" s="56"/>
      <c r="M43" s="56"/>
      <c r="N43" s="56"/>
      <c r="O43" s="62"/>
    </row>
    <row r="44" spans="1:15" x14ac:dyDescent="0.25">
      <c r="A44" s="72">
        <f>A43+10</f>
        <v>40</v>
      </c>
      <c r="B44" s="72" t="s">
        <v>298</v>
      </c>
      <c r="C44" s="72" t="s">
        <v>381</v>
      </c>
      <c r="D44" s="659">
        <f>0.009*EXP(0.2*E44)</f>
        <v>2.9881052304628931E-2</v>
      </c>
      <c r="E44" s="72">
        <v>6</v>
      </c>
      <c r="F44" s="661" t="s">
        <v>30</v>
      </c>
      <c r="G44" s="72"/>
      <c r="H44" s="72"/>
      <c r="I44" s="82">
        <v>2</v>
      </c>
      <c r="J44" s="74">
        <f>D44*I44</f>
        <v>5.9762104609257863E-2</v>
      </c>
      <c r="K44" s="56"/>
      <c r="L44" s="56"/>
      <c r="M44" s="56"/>
      <c r="N44" s="56"/>
      <c r="O44" s="62"/>
    </row>
    <row r="45" spans="1:15" x14ac:dyDescent="0.25">
      <c r="A45" s="72">
        <f>A44+10</f>
        <v>50</v>
      </c>
      <c r="B45" s="72" t="s">
        <v>298</v>
      </c>
      <c r="C45" s="72" t="s">
        <v>380</v>
      </c>
      <c r="D45" s="659">
        <f>0.009*EXP(0.2*E45)</f>
        <v>4.4577291819556032E-2</v>
      </c>
      <c r="E45" s="72">
        <v>8</v>
      </c>
      <c r="F45" s="661" t="s">
        <v>30</v>
      </c>
      <c r="G45" s="72"/>
      <c r="H45" s="72"/>
      <c r="I45" s="82">
        <v>2</v>
      </c>
      <c r="J45" s="74">
        <f>D45*I45</f>
        <v>8.9154583639112064E-2</v>
      </c>
      <c r="K45" s="56"/>
      <c r="L45" s="56"/>
      <c r="M45" s="56"/>
      <c r="N45" s="56"/>
      <c r="O45" s="62"/>
    </row>
    <row r="46" spans="1:15" x14ac:dyDescent="0.25">
      <c r="A46" s="67"/>
      <c r="B46" s="24"/>
      <c r="C46" s="24"/>
      <c r="D46" s="24"/>
      <c r="E46" s="24"/>
      <c r="F46" s="24"/>
      <c r="G46" s="24"/>
      <c r="H46" s="24"/>
      <c r="I46" s="98" t="s">
        <v>18</v>
      </c>
      <c r="J46" s="97">
        <f>SUM(J41:J45)</f>
        <v>0.55987632513922869</v>
      </c>
      <c r="K46" s="56"/>
      <c r="L46" s="56"/>
      <c r="M46" s="56"/>
      <c r="N46" s="56"/>
      <c r="O46" s="62"/>
    </row>
    <row r="47" spans="1:15" x14ac:dyDescent="0.25">
      <c r="A47" s="63"/>
      <c r="B47" s="56"/>
      <c r="C47" s="56"/>
      <c r="D47" s="56"/>
      <c r="E47" s="56"/>
      <c r="F47" s="56"/>
      <c r="G47" s="56"/>
      <c r="H47" s="56"/>
      <c r="I47" s="56"/>
      <c r="J47" s="56"/>
      <c r="K47" s="56"/>
      <c r="L47" s="56"/>
      <c r="M47" s="56"/>
      <c r="N47" s="56"/>
      <c r="O47" s="62"/>
    </row>
    <row r="48" spans="1:15" ht="15.75" thickBot="1" x14ac:dyDescent="0.3">
      <c r="A48" s="69"/>
      <c r="B48" s="70"/>
      <c r="C48" s="70"/>
      <c r="D48" s="70"/>
      <c r="E48" s="70"/>
      <c r="F48" s="70"/>
      <c r="G48" s="70"/>
      <c r="H48" s="70"/>
      <c r="I48" s="70"/>
      <c r="J48" s="70"/>
      <c r="K48" s="70"/>
      <c r="L48" s="70"/>
      <c r="M48" s="70"/>
      <c r="N48" s="70"/>
      <c r="O48" s="71"/>
    </row>
    <row r="49" spans="1:14" x14ac:dyDescent="0.25">
      <c r="A49" s="56"/>
      <c r="B49" s="56"/>
      <c r="C49" s="56"/>
      <c r="D49" s="56"/>
      <c r="E49" s="56"/>
      <c r="F49" s="56"/>
      <c r="G49" s="56"/>
      <c r="H49" s="56"/>
      <c r="I49" s="56"/>
      <c r="J49" s="56"/>
      <c r="K49" s="56"/>
      <c r="L49" s="56"/>
      <c r="M49" s="56"/>
      <c r="N49" s="56"/>
    </row>
  </sheetData>
  <hyperlinks>
    <hyperlink ref="B13" location="SU_09004" display="Spacer" xr:uid="{00000000-0004-0000-6600-000000000000}"/>
    <hyperlink ref="B10" location="SU_09001" display="Pullrod tube" xr:uid="{00000000-0004-0000-6600-000001000000}"/>
    <hyperlink ref="B11" location="SU_09002" display="Pullrod insert" xr:uid="{00000000-0004-0000-6600-000002000000}"/>
    <hyperlink ref="B12" location="SU_09003" display="Spacer" xr:uid="{00000000-0004-0000-6600-000003000000}"/>
    <hyperlink ref="E2" location="SU_A0900_BOM" display="Back to BOM" xr:uid="{00000000-0004-0000-6600-000004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1" firstPageNumber="0" fitToHeight="99" orientation="landscape" r:id="rId1"/>
  <headerFooter>
    <oddFooter>Page &amp;P</oddFooter>
  </headerFooter>
  <rowBreaks count="1" manualBreakCount="1">
    <brk id="48" max="16383" man="1"/>
  </rowBreaks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700-000000000000}">
  <sheetPr>
    <tabColor rgb="FFFFFF66"/>
    <pageSetUpPr fitToPage="1"/>
  </sheetPr>
  <dimension ref="A1:O279"/>
  <sheetViews>
    <sheetView zoomScale="90" zoomScaleNormal="90" zoomScalePageLayoutView="70" workbookViewId="0">
      <selection activeCell="E2" sqref="E2"/>
    </sheetView>
  </sheetViews>
  <sheetFormatPr baseColWidth="10" defaultRowHeight="15" x14ac:dyDescent="0.25"/>
  <cols>
    <col min="2" max="2" width="31.85546875" customWidth="1"/>
    <col min="3" max="3" width="16.5703125" customWidth="1"/>
    <col min="7" max="7" width="10.28515625" customWidth="1"/>
    <col min="9" max="9" width="31.7109375" customWidth="1"/>
    <col min="10" max="10" width="13.5703125" customWidth="1"/>
    <col min="15" max="15" width="6.7109375" customWidth="1"/>
  </cols>
  <sheetData>
    <row r="1" spans="1:15" x14ac:dyDescent="0.25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25">
      <c r="A2" s="923" t="s">
        <v>0</v>
      </c>
      <c r="B2" s="16" t="s">
        <v>37</v>
      </c>
      <c r="C2" s="917"/>
      <c r="D2" s="917"/>
      <c r="E2" s="917"/>
      <c r="F2" s="87" t="s">
        <v>62</v>
      </c>
      <c r="G2" s="917"/>
      <c r="H2" s="917"/>
      <c r="I2" s="917"/>
      <c r="J2" s="898" t="s">
        <v>1</v>
      </c>
      <c r="K2" s="922">
        <v>81</v>
      </c>
      <c r="L2" s="917"/>
      <c r="M2" s="897" t="s">
        <v>16</v>
      </c>
      <c r="N2" s="920">
        <f>N12+I16</f>
        <v>9.0687098494115101</v>
      </c>
      <c r="O2" s="264"/>
    </row>
    <row r="3" spans="1:15" x14ac:dyDescent="0.25">
      <c r="A3" s="919" t="s">
        <v>3</v>
      </c>
      <c r="B3" s="16" t="str">
        <f>'SU A0900'!B3</f>
        <v>Suspension &amp; Shocks</v>
      </c>
      <c r="C3" s="917"/>
      <c r="D3" s="897" t="s">
        <v>6</v>
      </c>
      <c r="E3" s="87"/>
      <c r="F3" s="917"/>
      <c r="G3" s="917"/>
      <c r="H3" s="917"/>
      <c r="I3" s="917"/>
      <c r="J3" s="917"/>
      <c r="K3" s="917"/>
      <c r="L3" s="917"/>
      <c r="M3" s="896" t="s">
        <v>4</v>
      </c>
      <c r="N3" s="921">
        <v>1</v>
      </c>
      <c r="O3" s="264"/>
    </row>
    <row r="4" spans="1:15" x14ac:dyDescent="0.25">
      <c r="A4" s="919" t="s">
        <v>5</v>
      </c>
      <c r="B4" s="87" t="str">
        <f>'SU A0900'!B4</f>
        <v xml:space="preserve">Rear Tie rod  </v>
      </c>
      <c r="C4" s="917"/>
      <c r="D4" s="896" t="s">
        <v>8</v>
      </c>
      <c r="E4" s="917"/>
      <c r="F4" s="917"/>
      <c r="G4" s="917"/>
      <c r="H4" s="917"/>
      <c r="I4" s="917"/>
      <c r="J4" s="897" t="s">
        <v>6</v>
      </c>
      <c r="K4" s="917"/>
      <c r="L4" s="917"/>
      <c r="M4" s="917"/>
      <c r="N4" s="917"/>
      <c r="O4" s="264"/>
    </row>
    <row r="5" spans="1:15" x14ac:dyDescent="0.25">
      <c r="A5" s="919" t="s">
        <v>15</v>
      </c>
      <c r="B5" s="736" t="s">
        <v>420</v>
      </c>
      <c r="C5" s="917"/>
      <c r="D5" s="896" t="s">
        <v>12</v>
      </c>
      <c r="E5" s="917"/>
      <c r="F5" s="917"/>
      <c r="G5" s="917"/>
      <c r="H5" s="917"/>
      <c r="I5" s="917"/>
      <c r="J5" s="896" t="s">
        <v>8</v>
      </c>
      <c r="K5" s="917"/>
      <c r="L5" s="917"/>
      <c r="M5" s="897" t="s">
        <v>9</v>
      </c>
      <c r="N5" s="920">
        <f>N2*N3</f>
        <v>9.0687098494115101</v>
      </c>
      <c r="O5" s="264"/>
    </row>
    <row r="6" spans="1:15" x14ac:dyDescent="0.25">
      <c r="A6" s="919" t="s">
        <v>7</v>
      </c>
      <c r="B6" t="s">
        <v>418</v>
      </c>
      <c r="C6" s="917"/>
      <c r="D6" s="917"/>
      <c r="E6" s="917"/>
      <c r="F6" s="917"/>
      <c r="G6" s="917"/>
      <c r="H6" s="917"/>
      <c r="I6" s="917"/>
      <c r="J6" s="896" t="s">
        <v>12</v>
      </c>
      <c r="K6" s="917"/>
      <c r="L6" s="917"/>
      <c r="M6" s="917"/>
      <c r="N6" s="917"/>
      <c r="O6" s="264"/>
    </row>
    <row r="7" spans="1:15" x14ac:dyDescent="0.25">
      <c r="A7" s="919" t="s">
        <v>10</v>
      </c>
      <c r="B7" s="16" t="s">
        <v>11</v>
      </c>
      <c r="C7" s="917"/>
      <c r="D7" s="917"/>
      <c r="E7" s="917"/>
      <c r="F7" s="917"/>
      <c r="G7" s="917"/>
      <c r="H7" s="917"/>
      <c r="I7" s="917"/>
      <c r="J7" s="917"/>
      <c r="K7" s="917"/>
      <c r="L7" s="917"/>
      <c r="M7" s="917"/>
      <c r="N7" s="917"/>
      <c r="O7" s="264"/>
    </row>
    <row r="8" spans="1:15" x14ac:dyDescent="0.25">
      <c r="A8" s="919" t="s">
        <v>13</v>
      </c>
      <c r="B8" s="16"/>
      <c r="C8" s="917"/>
      <c r="D8" s="917"/>
      <c r="E8" s="917"/>
      <c r="F8" s="917"/>
      <c r="G8" s="917"/>
      <c r="H8" s="917"/>
      <c r="I8" s="917"/>
      <c r="J8" s="917"/>
      <c r="K8" s="917"/>
      <c r="L8" s="917"/>
      <c r="M8" s="917"/>
      <c r="N8" s="917"/>
      <c r="O8" s="264"/>
    </row>
    <row r="9" spans="1:15" x14ac:dyDescent="0.25">
      <c r="A9" s="918"/>
      <c r="B9" s="917"/>
      <c r="C9" s="917"/>
      <c r="D9" s="917"/>
      <c r="E9" s="917"/>
      <c r="F9" s="917"/>
      <c r="G9" s="917"/>
      <c r="H9" s="917"/>
      <c r="I9" s="917"/>
      <c r="J9" s="917"/>
      <c r="K9" s="917"/>
      <c r="L9" s="917"/>
      <c r="M9" s="917"/>
      <c r="N9" s="917"/>
      <c r="O9" s="264"/>
    </row>
    <row r="10" spans="1:15" x14ac:dyDescent="0.25">
      <c r="A10" s="913" t="s">
        <v>14</v>
      </c>
      <c r="B10" s="886" t="s">
        <v>19</v>
      </c>
      <c r="C10" s="886" t="s">
        <v>20</v>
      </c>
      <c r="D10" s="886" t="s">
        <v>21</v>
      </c>
      <c r="E10" s="886" t="s">
        <v>22</v>
      </c>
      <c r="F10" s="886" t="s">
        <v>23</v>
      </c>
      <c r="G10" s="886" t="s">
        <v>24</v>
      </c>
      <c r="H10" s="886" t="s">
        <v>25</v>
      </c>
      <c r="I10" s="886" t="s">
        <v>26</v>
      </c>
      <c r="J10" s="886" t="s">
        <v>27</v>
      </c>
      <c r="K10" s="886" t="s">
        <v>28</v>
      </c>
      <c r="L10" s="886" t="s">
        <v>29</v>
      </c>
      <c r="M10" s="886" t="s">
        <v>17</v>
      </c>
      <c r="N10" s="886" t="s">
        <v>18</v>
      </c>
      <c r="O10" s="264"/>
    </row>
    <row r="11" spans="1:15" ht="15" customHeight="1" x14ac:dyDescent="0.25">
      <c r="A11" s="959">
        <v>10</v>
      </c>
      <c r="B11" s="796" t="s">
        <v>408</v>
      </c>
      <c r="C11" s="895" t="s">
        <v>407</v>
      </c>
      <c r="D11" s="888">
        <v>200</v>
      </c>
      <c r="E11" s="894">
        <f>J11*K11*L11</f>
        <v>4.0305377108495605E-2</v>
      </c>
      <c r="F11" s="893" t="s">
        <v>141</v>
      </c>
      <c r="G11" s="893"/>
      <c r="H11" s="892"/>
      <c r="I11" s="891" t="s">
        <v>406</v>
      </c>
      <c r="J11" s="891">
        <f>PI()*((8*10^-3)^2-(6*10^-3)^2)</f>
        <v>8.7964594300514196E-5</v>
      </c>
      <c r="K11" s="890">
        <v>0.28999999999999998</v>
      </c>
      <c r="L11" s="889">
        <v>1580</v>
      </c>
      <c r="M11" s="889">
        <v>1</v>
      </c>
      <c r="N11" s="888">
        <f>D11*E11</f>
        <v>8.0610754216991207</v>
      </c>
      <c r="O11" s="264"/>
    </row>
    <row r="12" spans="1:15" x14ac:dyDescent="0.25">
      <c r="A12" s="905"/>
      <c r="B12" s="904"/>
      <c r="C12" s="904"/>
      <c r="D12" s="904"/>
      <c r="E12" s="904"/>
      <c r="F12" s="904"/>
      <c r="G12" s="904"/>
      <c r="H12" s="904"/>
      <c r="I12" s="904"/>
      <c r="J12" s="904"/>
      <c r="K12" s="904"/>
      <c r="L12" s="904"/>
      <c r="M12" s="881" t="s">
        <v>18</v>
      </c>
      <c r="N12" s="887">
        <f>N11</f>
        <v>8.0610754216991207</v>
      </c>
      <c r="O12" s="264"/>
    </row>
    <row r="13" spans="1:15" x14ac:dyDescent="0.25">
      <c r="A13" s="918"/>
      <c r="B13" s="917"/>
      <c r="C13" s="917"/>
      <c r="D13" s="917"/>
      <c r="E13" s="917"/>
      <c r="F13" s="917"/>
      <c r="G13" s="917"/>
      <c r="H13" s="917"/>
      <c r="I13" s="917"/>
      <c r="J13" s="917"/>
      <c r="K13" s="917"/>
      <c r="L13" s="917"/>
      <c r="M13" s="917"/>
      <c r="N13" s="917"/>
      <c r="O13" s="264"/>
    </row>
    <row r="14" spans="1:15" x14ac:dyDescent="0.25">
      <c r="A14" s="913" t="s">
        <v>14</v>
      </c>
      <c r="B14" s="886" t="s">
        <v>31</v>
      </c>
      <c r="C14" s="886" t="s">
        <v>20</v>
      </c>
      <c r="D14" s="886" t="s">
        <v>21</v>
      </c>
      <c r="E14" s="886" t="s">
        <v>32</v>
      </c>
      <c r="F14" s="886" t="s">
        <v>17</v>
      </c>
      <c r="G14" s="886" t="s">
        <v>33</v>
      </c>
      <c r="H14" s="886" t="s">
        <v>34</v>
      </c>
      <c r="I14" s="886" t="s">
        <v>18</v>
      </c>
      <c r="J14" s="904"/>
      <c r="K14" s="904"/>
      <c r="L14" s="904"/>
      <c r="M14" s="904"/>
      <c r="N14" s="904"/>
      <c r="O14" s="264"/>
    </row>
    <row r="15" spans="1:15" x14ac:dyDescent="0.25">
      <c r="A15" s="960">
        <v>10</v>
      </c>
      <c r="B15" s="249" t="s">
        <v>405</v>
      </c>
      <c r="C15" s="884" t="s">
        <v>404</v>
      </c>
      <c r="D15" s="253">
        <v>25</v>
      </c>
      <c r="E15" s="249" t="s">
        <v>141</v>
      </c>
      <c r="F15" s="883">
        <f>E11</f>
        <v>4.0305377108495605E-2</v>
      </c>
      <c r="G15" s="882"/>
      <c r="H15" s="882"/>
      <c r="I15" s="32">
        <f>D15*F15</f>
        <v>1.0076344277123901</v>
      </c>
      <c r="J15" s="917"/>
      <c r="K15" s="917"/>
      <c r="L15" s="917"/>
      <c r="M15" s="917"/>
      <c r="N15" s="917"/>
      <c r="O15" s="264"/>
    </row>
    <row r="16" spans="1:15" x14ac:dyDescent="0.25">
      <c r="A16" s="905"/>
      <c r="B16" s="904"/>
      <c r="C16" s="904"/>
      <c r="D16" s="904"/>
      <c r="E16" s="904"/>
      <c r="F16" s="904"/>
      <c r="G16" s="904"/>
      <c r="H16" s="881" t="s">
        <v>18</v>
      </c>
      <c r="I16" s="880">
        <f>I15</f>
        <v>1.0076344277123901</v>
      </c>
      <c r="J16" s="904"/>
      <c r="K16" s="904"/>
      <c r="L16" s="904"/>
      <c r="M16" s="904"/>
      <c r="N16" s="904"/>
      <c r="O16" s="264"/>
    </row>
    <row r="17" spans="1:15" ht="15.75" thickBot="1" x14ac:dyDescent="0.3">
      <c r="A17" s="961"/>
      <c r="B17" s="962"/>
      <c r="C17" s="962"/>
      <c r="D17" s="962"/>
      <c r="E17" s="962"/>
      <c r="F17" s="962"/>
      <c r="G17" s="962"/>
      <c r="H17" s="963"/>
      <c r="I17" s="964"/>
      <c r="J17" s="962"/>
      <c r="K17" s="962"/>
      <c r="L17" s="962"/>
      <c r="M17" s="962"/>
      <c r="N17" s="962"/>
      <c r="O17" s="286"/>
    </row>
    <row r="18" spans="1:15" x14ac:dyDescent="0.25">
      <c r="A18" s="878"/>
      <c r="B18" s="878"/>
      <c r="C18" s="878"/>
      <c r="D18" s="878"/>
      <c r="E18" s="878"/>
      <c r="F18" s="878"/>
      <c r="G18" s="878"/>
      <c r="H18" s="878"/>
      <c r="I18" s="878"/>
      <c r="J18" s="878"/>
      <c r="K18" s="878"/>
      <c r="L18" s="878"/>
      <c r="M18" s="878"/>
      <c r="N18" s="878"/>
    </row>
    <row r="19" spans="1:15" x14ac:dyDescent="0.25">
      <c r="A19" s="878"/>
      <c r="B19" s="878"/>
      <c r="C19" s="878"/>
      <c r="D19" s="878"/>
      <c r="E19" s="878"/>
      <c r="F19" s="878"/>
      <c r="G19" s="878"/>
      <c r="H19" s="878"/>
      <c r="I19" s="878"/>
      <c r="J19" s="878"/>
      <c r="K19" s="878"/>
      <c r="L19" s="878"/>
      <c r="M19" s="878"/>
      <c r="N19" s="878"/>
    </row>
    <row r="20" spans="1:15" x14ac:dyDescent="0.25">
      <c r="A20" s="878"/>
      <c r="B20" s="878"/>
      <c r="C20" s="878"/>
      <c r="D20" s="878"/>
      <c r="E20" s="878"/>
      <c r="F20" s="878"/>
      <c r="G20" s="878"/>
      <c r="H20" s="878"/>
      <c r="I20" s="878"/>
      <c r="J20" s="878"/>
      <c r="K20" s="878"/>
      <c r="L20" s="878"/>
      <c r="M20" s="878"/>
      <c r="N20" s="878"/>
    </row>
    <row r="21" spans="1:15" x14ac:dyDescent="0.25">
      <c r="A21" s="878"/>
      <c r="B21" s="878"/>
      <c r="C21" s="878"/>
      <c r="D21" s="878"/>
      <c r="E21" s="878"/>
      <c r="F21" s="878"/>
      <c r="G21" s="878"/>
      <c r="H21" s="878"/>
      <c r="I21" s="878"/>
      <c r="J21" s="878"/>
      <c r="K21" s="878"/>
      <c r="L21" s="878"/>
      <c r="M21" s="878"/>
      <c r="N21" s="878"/>
    </row>
    <row r="22" spans="1:15" x14ac:dyDescent="0.25">
      <c r="A22" s="16"/>
      <c r="B22" s="878"/>
      <c r="C22" s="878"/>
      <c r="D22" s="878"/>
      <c r="E22" s="878"/>
      <c r="F22" s="878"/>
      <c r="G22" s="878"/>
      <c r="H22" s="878"/>
      <c r="I22" s="878"/>
      <c r="J22" s="878"/>
      <c r="K22" s="878"/>
      <c r="L22" s="878"/>
      <c r="M22" s="878"/>
      <c r="N22" s="878"/>
    </row>
    <row r="23" spans="1:15" x14ac:dyDescent="0.25">
      <c r="A23" s="16"/>
      <c r="B23" s="878"/>
      <c r="C23" s="878"/>
      <c r="D23" s="878"/>
      <c r="E23" s="878"/>
      <c r="F23" s="878"/>
      <c r="G23" s="878"/>
      <c r="H23" s="878"/>
      <c r="I23" s="878"/>
      <c r="J23" s="878"/>
      <c r="K23" s="878"/>
      <c r="L23" s="878"/>
      <c r="M23" s="878"/>
      <c r="N23" s="878"/>
    </row>
    <row r="24" spans="1:15" x14ac:dyDescent="0.25">
      <c r="A24" s="87"/>
      <c r="B24" s="878"/>
      <c r="C24" s="878"/>
      <c r="D24" s="878"/>
      <c r="E24" s="878"/>
      <c r="F24" s="878"/>
      <c r="G24" s="878"/>
      <c r="H24" s="878"/>
      <c r="I24" s="878"/>
      <c r="J24" s="878"/>
      <c r="K24" s="878"/>
      <c r="L24" s="878"/>
      <c r="M24" s="878"/>
      <c r="N24" s="878"/>
    </row>
    <row r="25" spans="1:15" x14ac:dyDescent="0.25">
      <c r="A25" s="18"/>
      <c r="B25" s="878"/>
      <c r="C25" s="878"/>
      <c r="D25" s="878"/>
      <c r="E25" s="878"/>
      <c r="F25" s="878"/>
      <c r="G25" s="878"/>
      <c r="H25" s="878"/>
      <c r="I25" s="878"/>
      <c r="J25" s="878"/>
      <c r="K25" s="878"/>
      <c r="L25" s="878"/>
      <c r="M25" s="878"/>
      <c r="N25" s="878"/>
    </row>
    <row r="26" spans="1:15" x14ac:dyDescent="0.25">
      <c r="A26" s="28"/>
      <c r="B26" s="878"/>
      <c r="C26" s="878"/>
      <c r="D26" s="878"/>
      <c r="E26" s="878"/>
      <c r="F26" s="878"/>
      <c r="G26" s="878"/>
      <c r="H26" s="878"/>
      <c r="I26" s="878"/>
      <c r="J26" s="878"/>
      <c r="K26" s="878"/>
      <c r="L26" s="878"/>
      <c r="M26" s="878"/>
      <c r="N26" s="878"/>
    </row>
    <row r="27" spans="1:15" x14ac:dyDescent="0.25">
      <c r="A27" s="16"/>
      <c r="B27" s="878"/>
      <c r="C27" s="878"/>
      <c r="D27" s="878"/>
      <c r="E27" s="878"/>
      <c r="F27" s="878"/>
      <c r="G27" s="878"/>
      <c r="H27" s="878"/>
      <c r="I27" s="878"/>
      <c r="J27" s="878"/>
      <c r="K27" s="878"/>
      <c r="L27" s="878"/>
      <c r="M27" s="878"/>
      <c r="N27" s="878"/>
    </row>
    <row r="28" spans="1:15" x14ac:dyDescent="0.25">
      <c r="A28" s="16"/>
      <c r="B28" s="878"/>
      <c r="C28" s="878"/>
      <c r="D28" s="878"/>
      <c r="E28" s="878"/>
      <c r="F28" s="878"/>
      <c r="G28" s="878"/>
      <c r="H28" s="878"/>
      <c r="I28" s="878"/>
      <c r="J28" s="878"/>
      <c r="K28" s="878"/>
      <c r="L28" s="878"/>
      <c r="M28" s="878"/>
      <c r="N28" s="878"/>
    </row>
    <row r="29" spans="1:15" x14ac:dyDescent="0.25">
      <c r="A29" s="878"/>
      <c r="B29" s="878"/>
      <c r="C29" s="878"/>
      <c r="D29" s="878"/>
      <c r="E29" s="878"/>
      <c r="F29" s="878"/>
      <c r="G29" s="878"/>
      <c r="H29" s="878"/>
      <c r="I29" s="878"/>
      <c r="J29" s="878"/>
      <c r="K29" s="878"/>
      <c r="L29" s="878"/>
      <c r="M29" s="878"/>
      <c r="N29" s="878"/>
    </row>
    <row r="30" spans="1:15" x14ac:dyDescent="0.25">
      <c r="A30" s="878"/>
      <c r="B30" s="878"/>
      <c r="C30" s="878"/>
      <c r="D30" s="878"/>
      <c r="E30" s="878"/>
      <c r="F30" s="878"/>
      <c r="G30" s="878"/>
      <c r="H30" s="878"/>
      <c r="I30" s="878"/>
      <c r="J30" s="878"/>
      <c r="K30" s="878"/>
      <c r="L30" s="878"/>
      <c r="M30" s="878"/>
      <c r="N30" s="878"/>
    </row>
    <row r="31" spans="1:15" x14ac:dyDescent="0.25">
      <c r="A31" s="878"/>
      <c r="B31" s="878"/>
      <c r="C31" s="878"/>
      <c r="D31" s="878"/>
      <c r="E31" s="878"/>
      <c r="F31" s="878"/>
      <c r="G31" s="878"/>
      <c r="H31" s="878"/>
      <c r="I31" s="878"/>
      <c r="J31" s="878"/>
      <c r="K31" s="878"/>
      <c r="L31" s="878"/>
      <c r="M31" s="878"/>
      <c r="N31" s="878"/>
    </row>
    <row r="32" spans="1:15" x14ac:dyDescent="0.25">
      <c r="A32" s="878"/>
      <c r="B32" s="878"/>
      <c r="C32" s="878"/>
      <c r="D32" s="878"/>
      <c r="E32" s="878"/>
      <c r="F32" s="878"/>
      <c r="G32" s="878"/>
      <c r="H32" s="878"/>
      <c r="I32" s="878"/>
      <c r="J32" s="878"/>
      <c r="K32" s="878"/>
      <c r="L32" s="878"/>
      <c r="M32" s="878"/>
      <c r="N32" s="878"/>
    </row>
    <row r="33" spans="1:14" x14ac:dyDescent="0.25">
      <c r="A33" s="878"/>
      <c r="B33" s="878"/>
      <c r="C33" s="878"/>
      <c r="D33" s="878"/>
      <c r="E33" s="878"/>
      <c r="F33" s="878"/>
      <c r="G33" s="878"/>
      <c r="H33" s="878"/>
      <c r="I33" s="878"/>
      <c r="J33" s="878"/>
      <c r="K33" s="878"/>
      <c r="L33" s="878"/>
      <c r="M33" s="878"/>
      <c r="N33" s="878"/>
    </row>
    <row r="34" spans="1:14" x14ac:dyDescent="0.25">
      <c r="A34" s="878"/>
      <c r="B34" s="878"/>
      <c r="C34" s="878"/>
      <c r="D34" s="878"/>
      <c r="E34" s="878"/>
      <c r="F34" s="878"/>
      <c r="G34" s="878"/>
      <c r="H34" s="878"/>
      <c r="I34" s="878"/>
      <c r="J34" s="878"/>
      <c r="K34" s="878"/>
      <c r="L34" s="878"/>
      <c r="M34" s="878"/>
      <c r="N34" s="878"/>
    </row>
    <row r="35" spans="1:14" x14ac:dyDescent="0.25">
      <c r="A35" s="878"/>
      <c r="B35" s="878"/>
      <c r="C35" s="878"/>
      <c r="D35" s="878"/>
      <c r="E35" s="878"/>
      <c r="F35" s="878"/>
      <c r="G35" s="878"/>
      <c r="H35" s="878"/>
      <c r="I35" s="878"/>
      <c r="J35" s="878"/>
      <c r="K35" s="878"/>
      <c r="L35" s="878"/>
      <c r="M35" s="878"/>
      <c r="N35" s="878"/>
    </row>
    <row r="36" spans="1:14" x14ac:dyDescent="0.25">
      <c r="A36" s="878"/>
      <c r="B36" s="878"/>
      <c r="C36" s="878"/>
      <c r="D36" s="878"/>
      <c r="E36" s="878"/>
      <c r="F36" s="878"/>
      <c r="G36" s="878"/>
      <c r="H36" s="878"/>
      <c r="I36" s="878"/>
      <c r="J36" s="878"/>
      <c r="K36" s="878"/>
      <c r="L36" s="878"/>
      <c r="M36" s="878"/>
      <c r="N36" s="878"/>
    </row>
    <row r="37" spans="1:14" x14ac:dyDescent="0.25">
      <c r="A37" s="878"/>
      <c r="B37" s="878"/>
      <c r="C37" s="878"/>
      <c r="D37" s="878"/>
      <c r="E37" s="878"/>
      <c r="F37" s="878"/>
      <c r="G37" s="878"/>
      <c r="H37" s="878"/>
      <c r="I37" s="878"/>
      <c r="J37" s="878"/>
      <c r="K37" s="878"/>
      <c r="L37" s="878"/>
      <c r="M37" s="878"/>
      <c r="N37" s="878"/>
    </row>
    <row r="38" spans="1:14" x14ac:dyDescent="0.25">
      <c r="A38" s="878"/>
      <c r="B38" s="878"/>
      <c r="C38" s="878"/>
      <c r="D38" s="878"/>
      <c r="E38" s="878"/>
      <c r="F38" s="878"/>
      <c r="G38" s="878"/>
      <c r="H38" s="878"/>
      <c r="I38" s="878"/>
      <c r="J38" s="878"/>
      <c r="K38" s="878"/>
      <c r="L38" s="878"/>
      <c r="M38" s="878"/>
      <c r="N38" s="878"/>
    </row>
    <row r="39" spans="1:14" x14ac:dyDescent="0.25">
      <c r="A39" s="878"/>
      <c r="B39" s="878"/>
      <c r="C39" s="878"/>
      <c r="D39" s="878"/>
      <c r="E39" s="878"/>
      <c r="F39" s="878"/>
      <c r="G39" s="878"/>
      <c r="H39" s="878"/>
      <c r="I39" s="878"/>
      <c r="J39" s="878"/>
      <c r="K39" s="878"/>
      <c r="L39" s="878"/>
      <c r="M39" s="878"/>
      <c r="N39" s="878"/>
    </row>
    <row r="40" spans="1:14" x14ac:dyDescent="0.25">
      <c r="A40" s="878"/>
      <c r="B40" s="878"/>
      <c r="C40" s="878"/>
      <c r="D40" s="878"/>
      <c r="E40" s="878"/>
      <c r="F40" s="878"/>
      <c r="G40" s="878"/>
      <c r="H40" s="878"/>
      <c r="I40" s="878"/>
      <c r="J40" s="878"/>
      <c r="K40" s="878"/>
      <c r="L40" s="878"/>
      <c r="M40" s="878"/>
      <c r="N40" s="878"/>
    </row>
    <row r="41" spans="1:14" x14ac:dyDescent="0.25">
      <c r="A41" s="878"/>
      <c r="B41" s="878"/>
      <c r="C41" s="878"/>
      <c r="D41" s="878"/>
      <c r="E41" s="878"/>
      <c r="F41" s="878"/>
      <c r="G41" s="878"/>
      <c r="H41" s="878"/>
      <c r="I41" s="878"/>
      <c r="J41" s="878"/>
      <c r="K41" s="878"/>
      <c r="L41" s="878"/>
      <c r="M41" s="878"/>
      <c r="N41" s="878"/>
    </row>
    <row r="42" spans="1:14" x14ac:dyDescent="0.25">
      <c r="A42" s="878"/>
      <c r="B42" s="878"/>
      <c r="C42" s="878"/>
      <c r="D42" s="878"/>
      <c r="E42" s="878"/>
      <c r="F42" s="878"/>
      <c r="G42" s="878"/>
      <c r="H42" s="878"/>
      <c r="I42" s="878"/>
      <c r="J42" s="878"/>
      <c r="K42" s="878"/>
      <c r="L42" s="878"/>
      <c r="M42" s="878"/>
      <c r="N42" s="878"/>
    </row>
    <row r="43" spans="1:14" x14ac:dyDescent="0.25">
      <c r="A43" s="878"/>
      <c r="B43" s="878"/>
      <c r="C43" s="878"/>
      <c r="D43" s="878"/>
      <c r="E43" s="878"/>
      <c r="F43" s="878"/>
      <c r="G43" s="878"/>
      <c r="H43" s="878"/>
      <c r="I43" s="878"/>
      <c r="J43" s="878"/>
      <c r="K43" s="878"/>
      <c r="L43" s="878"/>
      <c r="M43" s="878"/>
      <c r="N43" s="878"/>
    </row>
    <row r="44" spans="1:14" x14ac:dyDescent="0.25">
      <c r="A44" s="878"/>
      <c r="B44" s="878"/>
      <c r="C44" s="878"/>
      <c r="D44" s="878"/>
      <c r="E44" s="878"/>
      <c r="F44" s="878"/>
      <c r="G44" s="878"/>
      <c r="H44" s="878"/>
      <c r="I44" s="878"/>
      <c r="J44" s="878"/>
      <c r="K44" s="878"/>
      <c r="L44" s="878"/>
      <c r="M44" s="878"/>
      <c r="N44" s="878"/>
    </row>
    <row r="45" spans="1:14" x14ac:dyDescent="0.25">
      <c r="A45" s="878"/>
      <c r="B45" s="878"/>
      <c r="C45" s="878"/>
      <c r="D45" s="878"/>
      <c r="E45" s="878"/>
      <c r="F45" s="878"/>
      <c r="G45" s="878"/>
      <c r="H45" s="878"/>
      <c r="I45" s="878"/>
      <c r="J45" s="878"/>
      <c r="K45" s="878"/>
      <c r="L45" s="878"/>
      <c r="M45" s="878"/>
      <c r="N45" s="878"/>
    </row>
    <row r="46" spans="1:14" x14ac:dyDescent="0.25">
      <c r="A46" s="878"/>
      <c r="B46" s="878"/>
      <c r="C46" s="878"/>
      <c r="D46" s="878"/>
      <c r="E46" s="878"/>
      <c r="F46" s="878"/>
      <c r="G46" s="878"/>
      <c r="H46" s="878"/>
      <c r="I46" s="878"/>
      <c r="J46" s="878"/>
      <c r="K46" s="878"/>
      <c r="L46" s="878"/>
      <c r="M46" s="878"/>
      <c r="N46" s="878"/>
    </row>
    <row r="47" spans="1:14" x14ac:dyDescent="0.25">
      <c r="A47" s="878"/>
      <c r="B47" s="878"/>
      <c r="C47" s="878"/>
      <c r="D47" s="878"/>
      <c r="E47" s="878"/>
      <c r="F47" s="878"/>
      <c r="G47" s="878"/>
      <c r="H47" s="878"/>
      <c r="I47" s="878"/>
      <c r="J47" s="878"/>
      <c r="K47" s="878"/>
      <c r="L47" s="878"/>
      <c r="M47" s="878"/>
      <c r="N47" s="878"/>
    </row>
    <row r="48" spans="1:14" x14ac:dyDescent="0.25">
      <c r="A48" s="878"/>
      <c r="B48" s="878"/>
      <c r="C48" s="878"/>
      <c r="D48" s="878"/>
      <c r="E48" s="878"/>
      <c r="F48" s="878"/>
      <c r="G48" s="878"/>
      <c r="H48" s="878"/>
      <c r="I48" s="878"/>
      <c r="J48" s="878"/>
      <c r="K48" s="878"/>
      <c r="L48" s="878"/>
      <c r="M48" s="878"/>
      <c r="N48" s="878"/>
    </row>
    <row r="49" spans="1:14" x14ac:dyDescent="0.25">
      <c r="A49" s="878"/>
      <c r="B49" s="878"/>
      <c r="C49" s="878"/>
      <c r="D49" s="878"/>
      <c r="E49" s="878"/>
      <c r="F49" s="878"/>
      <c r="G49" s="878"/>
      <c r="H49" s="878"/>
      <c r="I49" s="878"/>
      <c r="J49" s="878"/>
      <c r="K49" s="878"/>
      <c r="L49" s="878"/>
      <c r="M49" s="878"/>
      <c r="N49" s="878"/>
    </row>
    <row r="50" spans="1:14" x14ac:dyDescent="0.25">
      <c r="A50" s="878"/>
      <c r="B50" s="878"/>
      <c r="C50" s="878"/>
      <c r="D50" s="878"/>
      <c r="E50" s="878"/>
      <c r="F50" s="878"/>
      <c r="G50" s="878"/>
      <c r="H50" s="878"/>
      <c r="I50" s="878"/>
      <c r="J50" s="878"/>
      <c r="K50" s="878"/>
      <c r="L50" s="878"/>
      <c r="M50" s="878"/>
      <c r="N50" s="878"/>
    </row>
    <row r="51" spans="1:14" x14ac:dyDescent="0.25">
      <c r="A51" s="878"/>
      <c r="B51" s="878"/>
      <c r="C51" s="878"/>
      <c r="D51" s="878"/>
      <c r="E51" s="878"/>
      <c r="F51" s="878"/>
      <c r="G51" s="878"/>
      <c r="H51" s="878"/>
      <c r="I51" s="878"/>
      <c r="J51" s="878"/>
      <c r="K51" s="878"/>
      <c r="L51" s="878"/>
      <c r="M51" s="878"/>
      <c r="N51" s="878"/>
    </row>
    <row r="52" spans="1:14" x14ac:dyDescent="0.25">
      <c r="A52" s="878"/>
      <c r="B52" s="878"/>
      <c r="C52" s="878"/>
      <c r="D52" s="878"/>
      <c r="E52" s="878"/>
      <c r="F52" s="878"/>
      <c r="G52" s="878"/>
      <c r="H52" s="878"/>
      <c r="I52" s="878"/>
      <c r="J52" s="878"/>
      <c r="K52" s="878"/>
      <c r="L52" s="878"/>
      <c r="M52" s="878"/>
      <c r="N52" s="878"/>
    </row>
    <row r="53" spans="1:14" x14ac:dyDescent="0.25">
      <c r="A53" s="878"/>
      <c r="B53" s="878"/>
      <c r="C53" s="878"/>
      <c r="D53" s="878"/>
      <c r="E53" s="878"/>
      <c r="F53" s="878"/>
      <c r="G53" s="878"/>
      <c r="H53" s="878"/>
      <c r="I53" s="878"/>
      <c r="J53" s="878"/>
      <c r="K53" s="878"/>
      <c r="L53" s="878"/>
      <c r="M53" s="878"/>
      <c r="N53" s="878"/>
    </row>
    <row r="54" spans="1:14" x14ac:dyDescent="0.25">
      <c r="A54" s="878"/>
      <c r="B54" s="878"/>
      <c r="C54" s="878"/>
      <c r="D54" s="878"/>
      <c r="E54" s="878"/>
      <c r="F54" s="878"/>
      <c r="G54" s="878"/>
      <c r="H54" s="878"/>
      <c r="I54" s="878"/>
      <c r="J54" s="878"/>
      <c r="K54" s="878"/>
      <c r="L54" s="878"/>
      <c r="M54" s="878"/>
      <c r="N54" s="878"/>
    </row>
    <row r="55" spans="1:14" x14ac:dyDescent="0.25">
      <c r="A55" s="878"/>
      <c r="B55" s="878"/>
      <c r="C55" s="878"/>
      <c r="D55" s="878"/>
      <c r="E55" s="878"/>
      <c r="F55" s="878"/>
      <c r="G55" s="878"/>
      <c r="H55" s="878"/>
      <c r="I55" s="878"/>
      <c r="J55" s="878"/>
      <c r="K55" s="878"/>
      <c r="L55" s="878"/>
      <c r="M55" s="878"/>
      <c r="N55" s="878"/>
    </row>
    <row r="56" spans="1:14" x14ac:dyDescent="0.25">
      <c r="A56" s="878"/>
      <c r="B56" s="878"/>
      <c r="C56" s="878"/>
      <c r="D56" s="878"/>
      <c r="E56" s="878"/>
      <c r="F56" s="878"/>
      <c r="G56" s="878"/>
      <c r="H56" s="878"/>
      <c r="I56" s="878"/>
      <c r="J56" s="878"/>
      <c r="K56" s="878"/>
      <c r="L56" s="878"/>
      <c r="M56" s="878"/>
      <c r="N56" s="878"/>
    </row>
    <row r="57" spans="1:14" x14ac:dyDescent="0.25">
      <c r="A57" s="878"/>
      <c r="B57" s="878"/>
      <c r="C57" s="878"/>
      <c r="D57" s="878"/>
      <c r="E57" s="878"/>
      <c r="F57" s="878"/>
      <c r="G57" s="878"/>
      <c r="H57" s="878"/>
      <c r="I57" s="878"/>
      <c r="J57" s="878"/>
      <c r="K57" s="878"/>
      <c r="L57" s="878"/>
      <c r="M57" s="878"/>
      <c r="N57" s="878"/>
    </row>
    <row r="58" spans="1:14" x14ac:dyDescent="0.25">
      <c r="A58" s="878"/>
      <c r="B58" s="878"/>
      <c r="C58" s="878"/>
      <c r="D58" s="878"/>
      <c r="E58" s="878"/>
      <c r="F58" s="878"/>
      <c r="G58" s="878"/>
      <c r="H58" s="878"/>
      <c r="I58" s="878"/>
      <c r="J58" s="878"/>
      <c r="K58" s="878"/>
      <c r="L58" s="878"/>
      <c r="M58" s="878"/>
      <c r="N58" s="878"/>
    </row>
    <row r="59" spans="1:14" x14ac:dyDescent="0.25">
      <c r="A59" s="878"/>
      <c r="B59" s="878"/>
      <c r="C59" s="878"/>
      <c r="D59" s="878"/>
      <c r="E59" s="878"/>
      <c r="F59" s="878"/>
      <c r="G59" s="878"/>
      <c r="H59" s="878"/>
      <c r="I59" s="878"/>
      <c r="J59" s="878"/>
      <c r="K59" s="878"/>
      <c r="L59" s="878"/>
      <c r="M59" s="878"/>
      <c r="N59" s="878"/>
    </row>
    <row r="60" spans="1:14" x14ac:dyDescent="0.25">
      <c r="A60" s="878"/>
      <c r="B60" s="878"/>
      <c r="C60" s="878"/>
      <c r="D60" s="878"/>
      <c r="E60" s="878"/>
      <c r="F60" s="878"/>
      <c r="G60" s="878"/>
      <c r="H60" s="878"/>
      <c r="I60" s="878"/>
      <c r="J60" s="878"/>
      <c r="K60" s="878"/>
      <c r="L60" s="878"/>
      <c r="M60" s="878"/>
      <c r="N60" s="878"/>
    </row>
    <row r="61" spans="1:14" x14ac:dyDescent="0.25">
      <c r="A61" s="878"/>
      <c r="B61" s="878"/>
      <c r="C61" s="878"/>
      <c r="D61" s="878"/>
      <c r="E61" s="878"/>
      <c r="F61" s="878"/>
      <c r="G61" s="878"/>
      <c r="H61" s="878"/>
      <c r="I61" s="878"/>
      <c r="J61" s="878"/>
      <c r="K61" s="878"/>
      <c r="L61" s="878"/>
      <c r="M61" s="878"/>
      <c r="N61" s="878"/>
    </row>
    <row r="62" spans="1:14" x14ac:dyDescent="0.25">
      <c r="A62" s="878"/>
      <c r="B62" s="878"/>
      <c r="C62" s="878"/>
      <c r="D62" s="878"/>
      <c r="E62" s="878"/>
      <c r="F62" s="878"/>
      <c r="G62" s="878"/>
      <c r="H62" s="878"/>
      <c r="I62" s="878"/>
      <c r="J62" s="878"/>
      <c r="K62" s="878"/>
      <c r="L62" s="878"/>
      <c r="M62" s="878"/>
      <c r="N62" s="878"/>
    </row>
    <row r="63" spans="1:14" x14ac:dyDescent="0.25">
      <c r="A63" s="878"/>
      <c r="B63" s="878"/>
      <c r="C63" s="878"/>
      <c r="D63" s="878"/>
      <c r="E63" s="878"/>
      <c r="F63" s="878"/>
      <c r="G63" s="878"/>
      <c r="H63" s="878"/>
      <c r="I63" s="878"/>
      <c r="J63" s="878"/>
      <c r="K63" s="878"/>
      <c r="L63" s="878"/>
      <c r="M63" s="878"/>
      <c r="N63" s="878"/>
    </row>
    <row r="64" spans="1:14" x14ac:dyDescent="0.25">
      <c r="A64" s="878"/>
      <c r="B64" s="878"/>
      <c r="C64" s="878"/>
      <c r="D64" s="878"/>
      <c r="E64" s="878"/>
      <c r="F64" s="878"/>
      <c r="G64" s="878"/>
      <c r="H64" s="878"/>
      <c r="I64" s="878"/>
      <c r="J64" s="878"/>
      <c r="K64" s="878"/>
      <c r="L64" s="878"/>
      <c r="M64" s="878"/>
      <c r="N64" s="878"/>
    </row>
    <row r="65" spans="1:14" x14ac:dyDescent="0.25">
      <c r="A65" s="878"/>
      <c r="B65" s="878"/>
      <c r="C65" s="878"/>
      <c r="D65" s="878"/>
      <c r="E65" s="878"/>
      <c r="F65" s="878"/>
      <c r="G65" s="878"/>
      <c r="H65" s="878"/>
      <c r="I65" s="878"/>
      <c r="J65" s="878"/>
      <c r="K65" s="878"/>
      <c r="L65" s="878"/>
      <c r="M65" s="878"/>
      <c r="N65" s="878"/>
    </row>
    <row r="66" spans="1:14" x14ac:dyDescent="0.25">
      <c r="A66" s="878"/>
      <c r="B66" s="878"/>
      <c r="C66" s="878"/>
      <c r="D66" s="878"/>
      <c r="E66" s="878"/>
      <c r="F66" s="878"/>
      <c r="G66" s="878"/>
      <c r="H66" s="878"/>
      <c r="I66" s="878"/>
      <c r="J66" s="878"/>
      <c r="K66" s="878"/>
      <c r="L66" s="878"/>
      <c r="M66" s="878"/>
      <c r="N66" s="878"/>
    </row>
    <row r="67" spans="1:14" x14ac:dyDescent="0.25">
      <c r="A67" s="878"/>
      <c r="B67" s="878"/>
      <c r="C67" s="878"/>
      <c r="D67" s="878"/>
      <c r="E67" s="878"/>
      <c r="F67" s="878"/>
      <c r="G67" s="878"/>
      <c r="H67" s="878"/>
      <c r="I67" s="878"/>
      <c r="J67" s="878"/>
      <c r="K67" s="878"/>
      <c r="L67" s="878"/>
      <c r="M67" s="878"/>
      <c r="N67" s="878"/>
    </row>
    <row r="68" spans="1:14" x14ac:dyDescent="0.25">
      <c r="A68" s="878"/>
      <c r="B68" s="878"/>
      <c r="C68" s="878"/>
      <c r="D68" s="878"/>
      <c r="E68" s="878"/>
      <c r="F68" s="878"/>
      <c r="G68" s="878"/>
      <c r="H68" s="878"/>
      <c r="I68" s="878"/>
      <c r="J68" s="878"/>
      <c r="K68" s="878"/>
      <c r="L68" s="878"/>
      <c r="M68" s="878"/>
      <c r="N68" s="878"/>
    </row>
    <row r="69" spans="1:14" x14ac:dyDescent="0.25">
      <c r="A69" s="878"/>
      <c r="B69" s="878"/>
      <c r="C69" s="878"/>
      <c r="D69" s="878"/>
      <c r="E69" s="878"/>
      <c r="F69" s="878"/>
      <c r="G69" s="878"/>
      <c r="H69" s="878"/>
      <c r="I69" s="878"/>
      <c r="J69" s="878"/>
      <c r="K69" s="878"/>
      <c r="L69" s="878"/>
      <c r="M69" s="878"/>
      <c r="N69" s="878"/>
    </row>
    <row r="70" spans="1:14" x14ac:dyDescent="0.25">
      <c r="A70" s="878"/>
      <c r="B70" s="878"/>
      <c r="C70" s="878"/>
      <c r="D70" s="878"/>
      <c r="E70" s="878"/>
      <c r="F70" s="878"/>
      <c r="G70" s="878"/>
      <c r="H70" s="878"/>
      <c r="I70" s="878"/>
      <c r="J70" s="878"/>
      <c r="K70" s="878"/>
      <c r="L70" s="878"/>
      <c r="M70" s="878"/>
      <c r="N70" s="878"/>
    </row>
    <row r="71" spans="1:14" x14ac:dyDescent="0.25">
      <c r="A71" s="878"/>
      <c r="B71" s="878"/>
      <c r="C71" s="878"/>
      <c r="D71" s="878"/>
      <c r="E71" s="878"/>
      <c r="F71" s="878"/>
      <c r="G71" s="878"/>
      <c r="H71" s="878"/>
      <c r="I71" s="878"/>
      <c r="J71" s="878"/>
      <c r="K71" s="878"/>
      <c r="L71" s="878"/>
      <c r="M71" s="878"/>
      <c r="N71" s="878"/>
    </row>
    <row r="72" spans="1:14" x14ac:dyDescent="0.25">
      <c r="A72" s="878"/>
      <c r="B72" s="878"/>
      <c r="C72" s="878"/>
      <c r="D72" s="878"/>
      <c r="E72" s="878"/>
      <c r="F72" s="878"/>
      <c r="G72" s="878"/>
      <c r="H72" s="878"/>
      <c r="I72" s="878"/>
      <c r="J72" s="878"/>
      <c r="K72" s="878"/>
      <c r="L72" s="878"/>
      <c r="M72" s="878"/>
      <c r="N72" s="878"/>
    </row>
    <row r="73" spans="1:14" x14ac:dyDescent="0.25">
      <c r="A73" s="878"/>
      <c r="B73" s="878"/>
      <c r="C73" s="878"/>
      <c r="D73" s="878"/>
      <c r="E73" s="878"/>
      <c r="F73" s="878"/>
      <c r="G73" s="878"/>
      <c r="H73" s="878"/>
      <c r="I73" s="878"/>
      <c r="J73" s="878"/>
      <c r="K73" s="878"/>
      <c r="L73" s="878"/>
      <c r="M73" s="878"/>
      <c r="N73" s="878"/>
    </row>
    <row r="74" spans="1:14" x14ac:dyDescent="0.25">
      <c r="A74" s="878"/>
      <c r="B74" s="878"/>
      <c r="C74" s="878"/>
      <c r="D74" s="878"/>
      <c r="E74" s="878"/>
      <c r="F74" s="878"/>
      <c r="G74" s="878"/>
      <c r="H74" s="878"/>
      <c r="I74" s="878"/>
      <c r="J74" s="878"/>
      <c r="K74" s="878"/>
      <c r="L74" s="878"/>
      <c r="M74" s="878"/>
      <c r="N74" s="878"/>
    </row>
    <row r="75" spans="1:14" x14ac:dyDescent="0.25">
      <c r="A75" s="878"/>
      <c r="B75" s="878"/>
      <c r="C75" s="878"/>
      <c r="D75" s="878"/>
      <c r="E75" s="878"/>
      <c r="F75" s="878"/>
      <c r="G75" s="878"/>
      <c r="H75" s="878"/>
      <c r="I75" s="878"/>
      <c r="J75" s="878"/>
      <c r="K75" s="878"/>
      <c r="L75" s="878"/>
      <c r="M75" s="878"/>
      <c r="N75" s="878"/>
    </row>
    <row r="76" spans="1:14" x14ac:dyDescent="0.25">
      <c r="A76" s="878"/>
      <c r="B76" s="878"/>
      <c r="C76" s="878"/>
      <c r="D76" s="878"/>
      <c r="E76" s="878"/>
      <c r="F76" s="878"/>
      <c r="G76" s="878"/>
      <c r="H76" s="878"/>
      <c r="I76" s="878"/>
      <c r="J76" s="878"/>
      <c r="K76" s="878"/>
      <c r="L76" s="878"/>
      <c r="M76" s="878"/>
      <c r="N76" s="878"/>
    </row>
    <row r="77" spans="1:14" x14ac:dyDescent="0.25">
      <c r="A77" s="878"/>
      <c r="B77" s="878"/>
      <c r="C77" s="878"/>
      <c r="D77" s="878"/>
      <c r="E77" s="878"/>
      <c r="F77" s="878"/>
      <c r="G77" s="878"/>
      <c r="H77" s="878"/>
      <c r="I77" s="878"/>
      <c r="J77" s="878"/>
      <c r="K77" s="878"/>
      <c r="L77" s="878"/>
      <c r="M77" s="878"/>
      <c r="N77" s="878"/>
    </row>
    <row r="78" spans="1:14" x14ac:dyDescent="0.25">
      <c r="A78" s="878"/>
      <c r="B78" s="878"/>
      <c r="C78" s="878"/>
      <c r="D78" s="878"/>
      <c r="E78" s="878"/>
      <c r="F78" s="878"/>
      <c r="G78" s="878"/>
      <c r="H78" s="878"/>
      <c r="I78" s="878"/>
      <c r="J78" s="878"/>
      <c r="K78" s="878"/>
      <c r="L78" s="878"/>
      <c r="M78" s="878"/>
      <c r="N78" s="878"/>
    </row>
    <row r="79" spans="1:14" x14ac:dyDescent="0.25">
      <c r="A79" s="878"/>
      <c r="B79" s="878"/>
      <c r="C79" s="878"/>
      <c r="D79" s="878"/>
      <c r="E79" s="878"/>
      <c r="F79" s="878"/>
      <c r="G79" s="878"/>
      <c r="H79" s="878"/>
      <c r="I79" s="878"/>
      <c r="J79" s="878"/>
      <c r="K79" s="878"/>
      <c r="L79" s="878"/>
      <c r="M79" s="878"/>
      <c r="N79" s="878"/>
    </row>
    <row r="80" spans="1:14" x14ac:dyDescent="0.25">
      <c r="A80" s="878"/>
      <c r="B80" s="878"/>
      <c r="C80" s="878"/>
      <c r="D80" s="878"/>
      <c r="E80" s="878"/>
      <c r="F80" s="878"/>
      <c r="G80" s="878"/>
      <c r="H80" s="878"/>
      <c r="I80" s="878"/>
      <c r="J80" s="878"/>
      <c r="K80" s="878"/>
      <c r="L80" s="878"/>
      <c r="M80" s="878"/>
      <c r="N80" s="878"/>
    </row>
    <row r="81" spans="1:14" x14ac:dyDescent="0.25">
      <c r="A81" s="878"/>
      <c r="B81" s="878"/>
      <c r="C81" s="878"/>
      <c r="D81" s="878"/>
      <c r="E81" s="878"/>
      <c r="F81" s="878"/>
      <c r="G81" s="878"/>
      <c r="H81" s="878"/>
      <c r="I81" s="878"/>
      <c r="J81" s="878"/>
      <c r="K81" s="878"/>
      <c r="L81" s="878"/>
      <c r="M81" s="878"/>
      <c r="N81" s="878"/>
    </row>
    <row r="82" spans="1:14" x14ac:dyDescent="0.25">
      <c r="A82" s="878"/>
      <c r="B82" s="878"/>
      <c r="C82" s="878"/>
      <c r="D82" s="878"/>
      <c r="E82" s="878"/>
      <c r="F82" s="878"/>
      <c r="G82" s="878"/>
      <c r="H82" s="878"/>
      <c r="I82" s="878"/>
      <c r="J82" s="878"/>
      <c r="K82" s="878"/>
      <c r="L82" s="878"/>
      <c r="M82" s="878"/>
      <c r="N82" s="878"/>
    </row>
    <row r="83" spans="1:14" x14ac:dyDescent="0.25">
      <c r="A83" s="878"/>
      <c r="B83" s="878"/>
      <c r="C83" s="878"/>
      <c r="D83" s="878"/>
      <c r="E83" s="878"/>
      <c r="F83" s="878"/>
      <c r="G83" s="878"/>
      <c r="H83" s="878"/>
      <c r="I83" s="878"/>
      <c r="J83" s="878"/>
      <c r="K83" s="878"/>
      <c r="L83" s="878"/>
      <c r="M83" s="878"/>
      <c r="N83" s="878"/>
    </row>
    <row r="84" spans="1:14" x14ac:dyDescent="0.25">
      <c r="A84" s="878"/>
      <c r="B84" s="878"/>
      <c r="C84" s="878"/>
      <c r="D84" s="878"/>
      <c r="E84" s="878"/>
      <c r="F84" s="878"/>
      <c r="G84" s="878"/>
      <c r="H84" s="878"/>
      <c r="I84" s="878"/>
      <c r="J84" s="878"/>
      <c r="K84" s="878"/>
      <c r="L84" s="878"/>
      <c r="M84" s="878"/>
      <c r="N84" s="878"/>
    </row>
    <row r="85" spans="1:14" x14ac:dyDescent="0.25">
      <c r="A85" s="878"/>
      <c r="B85" s="878"/>
      <c r="C85" s="878"/>
      <c r="D85" s="878"/>
      <c r="E85" s="878"/>
      <c r="F85" s="878"/>
      <c r="G85" s="878"/>
      <c r="H85" s="878"/>
      <c r="I85" s="878"/>
      <c r="J85" s="878"/>
      <c r="K85" s="878"/>
      <c r="L85" s="878"/>
      <c r="M85" s="878"/>
      <c r="N85" s="878"/>
    </row>
    <row r="86" spans="1:14" x14ac:dyDescent="0.25">
      <c r="A86" s="878"/>
      <c r="B86" s="878"/>
      <c r="C86" s="878"/>
      <c r="D86" s="878"/>
      <c r="E86" s="878"/>
      <c r="F86" s="878"/>
      <c r="G86" s="878"/>
      <c r="H86" s="878"/>
      <c r="I86" s="878"/>
      <c r="J86" s="878"/>
      <c r="K86" s="878"/>
      <c r="L86" s="878"/>
      <c r="M86" s="878"/>
      <c r="N86" s="878"/>
    </row>
    <row r="87" spans="1:14" x14ac:dyDescent="0.25">
      <c r="A87" s="878"/>
      <c r="B87" s="878"/>
      <c r="C87" s="878"/>
      <c r="D87" s="878"/>
      <c r="E87" s="878"/>
      <c r="F87" s="878"/>
      <c r="G87" s="878"/>
      <c r="H87" s="878"/>
      <c r="I87" s="878"/>
      <c r="J87" s="878"/>
      <c r="K87" s="878"/>
      <c r="L87" s="878"/>
      <c r="M87" s="878"/>
      <c r="N87" s="878"/>
    </row>
    <row r="88" spans="1:14" x14ac:dyDescent="0.25">
      <c r="A88" s="878"/>
      <c r="B88" s="878"/>
      <c r="C88" s="878"/>
      <c r="D88" s="878"/>
      <c r="E88" s="878"/>
      <c r="F88" s="878"/>
      <c r="G88" s="878"/>
      <c r="H88" s="878"/>
      <c r="I88" s="878"/>
      <c r="J88" s="878"/>
      <c r="K88" s="878"/>
      <c r="L88" s="878"/>
      <c r="M88" s="878"/>
      <c r="N88" s="878"/>
    </row>
    <row r="89" spans="1:14" x14ac:dyDescent="0.25">
      <c r="A89" s="878"/>
      <c r="B89" s="878"/>
      <c r="C89" s="878"/>
      <c r="D89" s="878"/>
      <c r="E89" s="878"/>
      <c r="F89" s="878"/>
      <c r="G89" s="878"/>
      <c r="H89" s="878"/>
      <c r="I89" s="878"/>
      <c r="J89" s="878"/>
      <c r="K89" s="878"/>
      <c r="L89" s="878"/>
      <c r="M89" s="878"/>
      <c r="N89" s="878"/>
    </row>
    <row r="90" spans="1:14" x14ac:dyDescent="0.25">
      <c r="A90" s="878"/>
      <c r="B90" s="878"/>
      <c r="C90" s="878"/>
      <c r="D90" s="878"/>
      <c r="E90" s="878"/>
      <c r="F90" s="878"/>
      <c r="G90" s="878"/>
      <c r="H90" s="878"/>
      <c r="I90" s="878"/>
      <c r="J90" s="878"/>
      <c r="K90" s="878"/>
      <c r="L90" s="878"/>
      <c r="M90" s="878"/>
      <c r="N90" s="878"/>
    </row>
    <row r="91" spans="1:14" x14ac:dyDescent="0.25">
      <c r="A91" s="878"/>
      <c r="B91" s="878"/>
      <c r="C91" s="878"/>
      <c r="D91" s="878"/>
      <c r="E91" s="878"/>
      <c r="F91" s="878"/>
      <c r="G91" s="878"/>
      <c r="H91" s="878"/>
      <c r="I91" s="878"/>
      <c r="J91" s="878"/>
      <c r="K91" s="878"/>
      <c r="L91" s="878"/>
      <c r="M91" s="878"/>
      <c r="N91" s="878"/>
    </row>
    <row r="92" spans="1:14" x14ac:dyDescent="0.25">
      <c r="A92" s="878"/>
      <c r="B92" s="878"/>
      <c r="C92" s="878"/>
      <c r="D92" s="878"/>
      <c r="E92" s="878"/>
      <c r="F92" s="878"/>
      <c r="G92" s="878"/>
      <c r="H92" s="878"/>
      <c r="I92" s="878"/>
      <c r="J92" s="878"/>
      <c r="K92" s="878"/>
      <c r="L92" s="878"/>
      <c r="M92" s="878"/>
      <c r="N92" s="878"/>
    </row>
    <row r="93" spans="1:14" x14ac:dyDescent="0.25">
      <c r="A93" s="878"/>
      <c r="B93" s="878"/>
      <c r="C93" s="878"/>
      <c r="D93" s="878"/>
      <c r="E93" s="878"/>
      <c r="F93" s="878"/>
      <c r="G93" s="878"/>
      <c r="H93" s="878"/>
      <c r="I93" s="878"/>
      <c r="J93" s="878"/>
      <c r="K93" s="878"/>
      <c r="L93" s="878"/>
      <c r="M93" s="878"/>
      <c r="N93" s="878"/>
    </row>
    <row r="94" spans="1:14" x14ac:dyDescent="0.25">
      <c r="A94" s="878"/>
      <c r="B94" s="878"/>
      <c r="C94" s="878"/>
      <c r="D94" s="878"/>
      <c r="E94" s="878"/>
      <c r="F94" s="878"/>
      <c r="G94" s="878"/>
      <c r="H94" s="878"/>
      <c r="I94" s="878"/>
      <c r="J94" s="878"/>
      <c r="K94" s="878"/>
      <c r="L94" s="878"/>
      <c r="M94" s="878"/>
      <c r="N94" s="878"/>
    </row>
    <row r="95" spans="1:14" x14ac:dyDescent="0.25">
      <c r="A95" s="878"/>
      <c r="B95" s="878"/>
      <c r="C95" s="878"/>
      <c r="D95" s="878"/>
      <c r="E95" s="878"/>
      <c r="F95" s="878"/>
      <c r="G95" s="878"/>
      <c r="H95" s="878"/>
      <c r="I95" s="878"/>
      <c r="J95" s="878"/>
      <c r="K95" s="878"/>
      <c r="L95" s="878"/>
      <c r="M95" s="878"/>
      <c r="N95" s="878"/>
    </row>
    <row r="96" spans="1:14" x14ac:dyDescent="0.25">
      <c r="A96" s="878"/>
      <c r="B96" s="878"/>
      <c r="C96" s="878"/>
      <c r="D96" s="878"/>
      <c r="E96" s="878"/>
      <c r="F96" s="878"/>
      <c r="G96" s="878"/>
      <c r="H96" s="878"/>
      <c r="I96" s="878"/>
      <c r="J96" s="878"/>
      <c r="K96" s="878"/>
      <c r="L96" s="878"/>
      <c r="M96" s="878"/>
      <c r="N96" s="878"/>
    </row>
    <row r="97" spans="1:14" x14ac:dyDescent="0.25">
      <c r="A97" s="878"/>
      <c r="B97" s="878"/>
      <c r="C97" s="878"/>
      <c r="D97" s="878"/>
      <c r="E97" s="878"/>
      <c r="F97" s="878"/>
      <c r="G97" s="878"/>
      <c r="H97" s="878"/>
      <c r="I97" s="878"/>
      <c r="J97" s="878"/>
      <c r="K97" s="878"/>
      <c r="L97" s="878"/>
      <c r="M97" s="878"/>
      <c r="N97" s="878"/>
    </row>
    <row r="98" spans="1:14" x14ac:dyDescent="0.25">
      <c r="A98" s="878"/>
      <c r="B98" s="878"/>
      <c r="C98" s="878"/>
      <c r="D98" s="878"/>
      <c r="E98" s="878"/>
      <c r="F98" s="878"/>
      <c r="G98" s="878"/>
      <c r="H98" s="878"/>
      <c r="I98" s="878"/>
      <c r="J98" s="878"/>
      <c r="K98" s="878"/>
      <c r="L98" s="878"/>
      <c r="M98" s="878"/>
      <c r="N98" s="878"/>
    </row>
    <row r="99" spans="1:14" x14ac:dyDescent="0.25">
      <c r="A99" s="878"/>
      <c r="B99" s="878"/>
      <c r="C99" s="878"/>
      <c r="D99" s="878"/>
      <c r="E99" s="878"/>
      <c r="F99" s="878"/>
      <c r="G99" s="878"/>
      <c r="H99" s="878"/>
      <c r="I99" s="878"/>
      <c r="J99" s="878"/>
      <c r="K99" s="878"/>
      <c r="L99" s="878"/>
      <c r="M99" s="878"/>
      <c r="N99" s="878"/>
    </row>
    <row r="100" spans="1:14" x14ac:dyDescent="0.25">
      <c r="A100" s="878"/>
      <c r="B100" s="878"/>
      <c r="C100" s="878"/>
      <c r="D100" s="878"/>
      <c r="E100" s="878"/>
      <c r="F100" s="878"/>
      <c r="G100" s="878"/>
      <c r="H100" s="878"/>
      <c r="I100" s="878"/>
      <c r="J100" s="878"/>
      <c r="K100" s="878"/>
      <c r="L100" s="878"/>
      <c r="M100" s="878"/>
      <c r="N100" s="878"/>
    </row>
    <row r="101" spans="1:14" x14ac:dyDescent="0.25">
      <c r="A101" s="878"/>
      <c r="B101" s="878"/>
      <c r="C101" s="878"/>
      <c r="D101" s="878"/>
      <c r="E101" s="878"/>
      <c r="F101" s="878"/>
      <c r="G101" s="878"/>
      <c r="H101" s="878"/>
      <c r="I101" s="878"/>
      <c r="J101" s="878"/>
      <c r="K101" s="878"/>
      <c r="L101" s="878"/>
      <c r="M101" s="878"/>
      <c r="N101" s="878"/>
    </row>
    <row r="102" spans="1:14" x14ac:dyDescent="0.25">
      <c r="A102" s="878"/>
      <c r="B102" s="878"/>
      <c r="C102" s="878"/>
      <c r="D102" s="878"/>
      <c r="E102" s="878"/>
      <c r="F102" s="878"/>
      <c r="G102" s="878"/>
      <c r="H102" s="878"/>
      <c r="I102" s="878"/>
      <c r="J102" s="878"/>
      <c r="K102" s="878"/>
      <c r="L102" s="878"/>
      <c r="M102" s="878"/>
      <c r="N102" s="878"/>
    </row>
    <row r="103" spans="1:14" x14ac:dyDescent="0.25">
      <c r="A103" s="878"/>
      <c r="B103" s="878"/>
      <c r="C103" s="878"/>
      <c r="D103" s="878"/>
      <c r="E103" s="878"/>
      <c r="F103" s="878"/>
      <c r="G103" s="878"/>
      <c r="H103" s="878"/>
      <c r="I103" s="878"/>
      <c r="J103" s="878"/>
      <c r="K103" s="878"/>
      <c r="L103" s="878"/>
      <c r="M103" s="878"/>
      <c r="N103" s="878"/>
    </row>
    <row r="104" spans="1:14" x14ac:dyDescent="0.25">
      <c r="A104" s="878"/>
      <c r="B104" s="878"/>
      <c r="C104" s="878"/>
      <c r="D104" s="878"/>
      <c r="E104" s="878"/>
      <c r="F104" s="878"/>
      <c r="G104" s="878"/>
      <c r="H104" s="878"/>
      <c r="I104" s="878"/>
      <c r="J104" s="878"/>
      <c r="K104" s="878"/>
      <c r="L104" s="878"/>
      <c r="M104" s="878"/>
      <c r="N104" s="878"/>
    </row>
    <row r="105" spans="1:14" x14ac:dyDescent="0.25">
      <c r="A105" s="878"/>
      <c r="B105" s="878"/>
      <c r="C105" s="878"/>
      <c r="D105" s="878"/>
      <c r="E105" s="878"/>
      <c r="F105" s="878"/>
      <c r="G105" s="878"/>
      <c r="H105" s="878"/>
      <c r="I105" s="878"/>
      <c r="J105" s="878"/>
      <c r="K105" s="878"/>
      <c r="L105" s="878"/>
      <c r="M105" s="878"/>
      <c r="N105" s="878"/>
    </row>
    <row r="106" spans="1:14" x14ac:dyDescent="0.25">
      <c r="A106" s="878"/>
      <c r="B106" s="878"/>
      <c r="C106" s="878"/>
      <c r="D106" s="878"/>
      <c r="E106" s="878"/>
      <c r="F106" s="878"/>
      <c r="G106" s="878"/>
      <c r="H106" s="878"/>
      <c r="I106" s="878"/>
      <c r="J106" s="878"/>
      <c r="K106" s="878"/>
      <c r="L106" s="878"/>
      <c r="M106" s="878"/>
      <c r="N106" s="878"/>
    </row>
    <row r="107" spans="1:14" x14ac:dyDescent="0.25">
      <c r="A107" s="878"/>
      <c r="B107" s="878"/>
      <c r="C107" s="878"/>
      <c r="D107" s="878"/>
      <c r="E107" s="878"/>
      <c r="F107" s="878"/>
      <c r="G107" s="878"/>
      <c r="H107" s="878"/>
      <c r="I107" s="878"/>
      <c r="J107" s="878"/>
      <c r="K107" s="878"/>
      <c r="L107" s="878"/>
      <c r="M107" s="878"/>
      <c r="N107" s="878"/>
    </row>
    <row r="108" spans="1:14" x14ac:dyDescent="0.25">
      <c r="A108" s="878"/>
      <c r="B108" s="878"/>
      <c r="C108" s="878"/>
      <c r="D108" s="878"/>
      <c r="E108" s="878"/>
      <c r="F108" s="878"/>
      <c r="G108" s="878"/>
      <c r="H108" s="878"/>
      <c r="I108" s="878"/>
      <c r="J108" s="878"/>
      <c r="K108" s="878"/>
      <c r="L108" s="878"/>
      <c r="M108" s="878"/>
      <c r="N108" s="878"/>
    </row>
    <row r="109" spans="1:14" x14ac:dyDescent="0.25">
      <c r="A109" s="878"/>
      <c r="B109" s="878"/>
      <c r="C109" s="878"/>
      <c r="D109" s="878"/>
      <c r="E109" s="878"/>
      <c r="F109" s="878"/>
      <c r="G109" s="878"/>
      <c r="H109" s="878"/>
      <c r="I109" s="878"/>
      <c r="J109" s="878"/>
      <c r="K109" s="878"/>
      <c r="L109" s="878"/>
      <c r="M109" s="878"/>
      <c r="N109" s="878"/>
    </row>
    <row r="110" spans="1:14" x14ac:dyDescent="0.25">
      <c r="A110" s="878"/>
      <c r="B110" s="878"/>
      <c r="C110" s="878"/>
      <c r="D110" s="878"/>
      <c r="E110" s="878"/>
      <c r="F110" s="878"/>
      <c r="G110" s="878"/>
      <c r="H110" s="878"/>
      <c r="I110" s="878"/>
      <c r="J110" s="878"/>
      <c r="K110" s="878"/>
      <c r="L110" s="878"/>
      <c r="M110" s="878"/>
      <c r="N110" s="878"/>
    </row>
    <row r="111" spans="1:14" x14ac:dyDescent="0.25">
      <c r="A111" s="878"/>
      <c r="B111" s="878"/>
      <c r="C111" s="878"/>
      <c r="D111" s="878"/>
      <c r="E111" s="878"/>
      <c r="F111" s="878"/>
      <c r="G111" s="878"/>
      <c r="H111" s="878"/>
      <c r="I111" s="878"/>
      <c r="J111" s="878"/>
      <c r="K111" s="878"/>
      <c r="L111" s="878"/>
      <c r="M111" s="878"/>
      <c r="N111" s="878"/>
    </row>
    <row r="112" spans="1:14" x14ac:dyDescent="0.25">
      <c r="A112" s="878"/>
      <c r="B112" s="878"/>
      <c r="C112" s="878"/>
      <c r="D112" s="878"/>
      <c r="E112" s="878"/>
      <c r="F112" s="878"/>
      <c r="G112" s="878"/>
      <c r="H112" s="878"/>
      <c r="I112" s="878"/>
      <c r="J112" s="878"/>
      <c r="K112" s="878"/>
      <c r="L112" s="878"/>
      <c r="M112" s="878"/>
      <c r="N112" s="878"/>
    </row>
    <row r="113" spans="1:14" x14ac:dyDescent="0.25">
      <c r="A113" s="878"/>
      <c r="B113" s="878"/>
      <c r="C113" s="878"/>
      <c r="D113" s="878"/>
      <c r="E113" s="878"/>
      <c r="F113" s="878"/>
      <c r="G113" s="878"/>
      <c r="H113" s="878"/>
      <c r="I113" s="878"/>
      <c r="J113" s="878"/>
      <c r="K113" s="878"/>
      <c r="L113" s="878"/>
      <c r="M113" s="878"/>
      <c r="N113" s="878"/>
    </row>
    <row r="114" spans="1:14" x14ac:dyDescent="0.25">
      <c r="A114" s="878"/>
      <c r="B114" s="878"/>
      <c r="C114" s="878"/>
      <c r="D114" s="878"/>
      <c r="E114" s="878"/>
      <c r="F114" s="878"/>
      <c r="G114" s="878"/>
      <c r="H114" s="878"/>
      <c r="I114" s="878"/>
      <c r="J114" s="878"/>
      <c r="K114" s="878"/>
      <c r="L114" s="878"/>
      <c r="M114" s="878"/>
      <c r="N114" s="878"/>
    </row>
    <row r="115" spans="1:14" x14ac:dyDescent="0.25">
      <c r="A115" s="878"/>
      <c r="B115" s="878"/>
      <c r="C115" s="878"/>
      <c r="D115" s="878"/>
      <c r="E115" s="878"/>
      <c r="F115" s="878"/>
      <c r="G115" s="878"/>
      <c r="H115" s="878"/>
      <c r="I115" s="878"/>
      <c r="J115" s="878"/>
      <c r="K115" s="878"/>
      <c r="L115" s="878"/>
      <c r="M115" s="878"/>
      <c r="N115" s="878"/>
    </row>
    <row r="116" spans="1:14" x14ac:dyDescent="0.25">
      <c r="A116" s="878"/>
      <c r="B116" s="878"/>
      <c r="C116" s="878"/>
      <c r="D116" s="878"/>
      <c r="E116" s="878"/>
      <c r="F116" s="878"/>
      <c r="G116" s="878"/>
      <c r="H116" s="878"/>
      <c r="I116" s="878"/>
      <c r="J116" s="878"/>
      <c r="K116" s="878"/>
      <c r="L116" s="878"/>
      <c r="M116" s="878"/>
      <c r="N116" s="878"/>
    </row>
    <row r="117" spans="1:14" x14ac:dyDescent="0.25">
      <c r="A117" s="878"/>
      <c r="B117" s="878"/>
      <c r="C117" s="878"/>
      <c r="D117" s="878"/>
      <c r="E117" s="878"/>
      <c r="F117" s="878"/>
      <c r="G117" s="878"/>
      <c r="H117" s="878"/>
      <c r="I117" s="878"/>
      <c r="J117" s="878"/>
      <c r="K117" s="878"/>
      <c r="L117" s="878"/>
      <c r="M117" s="878"/>
      <c r="N117" s="878"/>
    </row>
    <row r="118" spans="1:14" x14ac:dyDescent="0.25">
      <c r="A118" s="878"/>
      <c r="B118" s="878"/>
      <c r="C118" s="878"/>
      <c r="D118" s="878"/>
      <c r="E118" s="878"/>
      <c r="F118" s="878"/>
      <c r="G118" s="878"/>
      <c r="H118" s="878"/>
      <c r="I118" s="878"/>
      <c r="J118" s="878"/>
      <c r="K118" s="878"/>
      <c r="L118" s="878"/>
      <c r="M118" s="878"/>
      <c r="N118" s="878"/>
    </row>
    <row r="119" spans="1:14" x14ac:dyDescent="0.25">
      <c r="A119" s="878"/>
      <c r="B119" s="878"/>
      <c r="C119" s="878"/>
      <c r="D119" s="878"/>
      <c r="E119" s="878"/>
      <c r="F119" s="878"/>
      <c r="G119" s="878"/>
      <c r="H119" s="878"/>
      <c r="I119" s="878"/>
      <c r="J119" s="878"/>
      <c r="K119" s="878"/>
      <c r="L119" s="878"/>
      <c r="M119" s="878"/>
      <c r="N119" s="878"/>
    </row>
    <row r="120" spans="1:14" x14ac:dyDescent="0.25">
      <c r="A120" s="878"/>
      <c r="B120" s="878"/>
      <c r="C120" s="878"/>
      <c r="D120" s="878"/>
      <c r="E120" s="878"/>
      <c r="F120" s="878"/>
      <c r="G120" s="878"/>
      <c r="H120" s="878"/>
      <c r="I120" s="878"/>
      <c r="J120" s="878"/>
      <c r="K120" s="878"/>
      <c r="L120" s="878"/>
      <c r="M120" s="878"/>
      <c r="N120" s="878"/>
    </row>
    <row r="121" spans="1:14" x14ac:dyDescent="0.25">
      <c r="A121" s="878"/>
      <c r="B121" s="878"/>
      <c r="C121" s="878"/>
      <c r="D121" s="878"/>
      <c r="E121" s="878"/>
      <c r="F121" s="878"/>
      <c r="G121" s="878"/>
      <c r="H121" s="878"/>
      <c r="I121" s="878"/>
      <c r="J121" s="878"/>
      <c r="K121" s="878"/>
      <c r="L121" s="878"/>
      <c r="M121" s="878"/>
      <c r="N121" s="878"/>
    </row>
    <row r="122" spans="1:14" x14ac:dyDescent="0.25">
      <c r="A122" s="878"/>
      <c r="B122" s="878"/>
      <c r="C122" s="878"/>
      <c r="D122" s="878"/>
      <c r="E122" s="878"/>
      <c r="F122" s="878"/>
      <c r="G122" s="878"/>
      <c r="H122" s="878"/>
      <c r="I122" s="878"/>
      <c r="J122" s="878"/>
      <c r="K122" s="878"/>
      <c r="L122" s="878"/>
      <c r="M122" s="878"/>
      <c r="N122" s="878"/>
    </row>
    <row r="123" spans="1:14" x14ac:dyDescent="0.25">
      <c r="A123" s="878"/>
      <c r="B123" s="878"/>
      <c r="C123" s="878"/>
      <c r="D123" s="878"/>
      <c r="E123" s="878"/>
      <c r="F123" s="878"/>
      <c r="G123" s="878"/>
      <c r="H123" s="878"/>
      <c r="I123" s="878"/>
      <c r="J123" s="878"/>
      <c r="K123" s="878"/>
      <c r="L123" s="878"/>
      <c r="M123" s="878"/>
      <c r="N123" s="878"/>
    </row>
    <row r="124" spans="1:14" x14ac:dyDescent="0.25">
      <c r="A124" s="878"/>
      <c r="B124" s="878"/>
      <c r="C124" s="878"/>
      <c r="D124" s="878"/>
      <c r="E124" s="878"/>
      <c r="F124" s="878"/>
      <c r="G124" s="878"/>
      <c r="H124" s="878"/>
      <c r="I124" s="878"/>
      <c r="J124" s="878"/>
      <c r="K124" s="878"/>
      <c r="L124" s="878"/>
      <c r="M124" s="878"/>
      <c r="N124" s="878"/>
    </row>
    <row r="125" spans="1:14" x14ac:dyDescent="0.25">
      <c r="A125" s="878"/>
      <c r="B125" s="878"/>
      <c r="C125" s="878"/>
      <c r="D125" s="878"/>
      <c r="E125" s="878"/>
      <c r="F125" s="878"/>
      <c r="G125" s="878"/>
      <c r="H125" s="878"/>
      <c r="I125" s="878"/>
      <c r="J125" s="878"/>
      <c r="K125" s="878"/>
      <c r="L125" s="878"/>
      <c r="M125" s="878"/>
      <c r="N125" s="878"/>
    </row>
    <row r="126" spans="1:14" x14ac:dyDescent="0.25">
      <c r="A126" s="878"/>
      <c r="B126" s="878"/>
      <c r="C126" s="878"/>
      <c r="D126" s="878"/>
      <c r="E126" s="878"/>
      <c r="F126" s="878"/>
      <c r="G126" s="878"/>
      <c r="H126" s="878"/>
      <c r="I126" s="878"/>
      <c r="J126" s="878"/>
      <c r="K126" s="878"/>
      <c r="L126" s="878"/>
      <c r="M126" s="878"/>
      <c r="N126" s="878"/>
    </row>
    <row r="127" spans="1:14" x14ac:dyDescent="0.25">
      <c r="A127" s="878"/>
      <c r="B127" s="878"/>
      <c r="C127" s="878"/>
      <c r="D127" s="878"/>
      <c r="E127" s="878"/>
      <c r="F127" s="878"/>
      <c r="G127" s="878"/>
      <c r="H127" s="878"/>
      <c r="I127" s="878"/>
      <c r="J127" s="878"/>
      <c r="K127" s="878"/>
      <c r="L127" s="878"/>
      <c r="M127" s="878"/>
      <c r="N127" s="878"/>
    </row>
    <row r="128" spans="1:14" x14ac:dyDescent="0.25">
      <c r="A128" s="878"/>
      <c r="B128" s="878"/>
      <c r="C128" s="878"/>
      <c r="D128" s="878"/>
      <c r="E128" s="878"/>
      <c r="F128" s="878"/>
      <c r="G128" s="878"/>
      <c r="H128" s="878"/>
      <c r="I128" s="878"/>
      <c r="J128" s="878"/>
      <c r="K128" s="878"/>
      <c r="L128" s="878"/>
      <c r="M128" s="878"/>
      <c r="N128" s="878"/>
    </row>
    <row r="129" spans="1:14" x14ac:dyDescent="0.25">
      <c r="A129" s="878"/>
      <c r="B129" s="878"/>
      <c r="C129" s="878"/>
      <c r="D129" s="878"/>
      <c r="E129" s="878"/>
      <c r="F129" s="878"/>
      <c r="G129" s="878"/>
      <c r="H129" s="878"/>
      <c r="I129" s="878"/>
      <c r="J129" s="878"/>
      <c r="K129" s="878"/>
      <c r="L129" s="878"/>
      <c r="M129" s="878"/>
      <c r="N129" s="878"/>
    </row>
    <row r="130" spans="1:14" x14ac:dyDescent="0.25">
      <c r="A130" s="878"/>
      <c r="B130" s="878"/>
      <c r="C130" s="878"/>
      <c r="D130" s="878"/>
      <c r="E130" s="878"/>
      <c r="F130" s="878"/>
      <c r="G130" s="878"/>
      <c r="H130" s="878"/>
      <c r="I130" s="878"/>
      <c r="J130" s="878"/>
      <c r="K130" s="878"/>
      <c r="L130" s="878"/>
      <c r="M130" s="878"/>
      <c r="N130" s="878"/>
    </row>
    <row r="131" spans="1:14" x14ac:dyDescent="0.25">
      <c r="A131" s="878"/>
      <c r="B131" s="878"/>
      <c r="C131" s="878"/>
      <c r="D131" s="878"/>
      <c r="E131" s="878"/>
      <c r="F131" s="878"/>
      <c r="G131" s="878"/>
      <c r="H131" s="878"/>
      <c r="I131" s="878"/>
      <c r="J131" s="878"/>
      <c r="K131" s="878"/>
      <c r="L131" s="878"/>
      <c r="M131" s="878"/>
      <c r="N131" s="878"/>
    </row>
    <row r="132" spans="1:14" x14ac:dyDescent="0.25">
      <c r="A132" s="878"/>
      <c r="B132" s="878"/>
      <c r="C132" s="878"/>
      <c r="D132" s="878"/>
      <c r="E132" s="878"/>
      <c r="F132" s="878"/>
      <c r="G132" s="878"/>
      <c r="H132" s="878"/>
      <c r="I132" s="878"/>
      <c r="J132" s="878"/>
      <c r="K132" s="878"/>
      <c r="L132" s="878"/>
      <c r="M132" s="878"/>
      <c r="N132" s="878"/>
    </row>
    <row r="133" spans="1:14" x14ac:dyDescent="0.25">
      <c r="A133" s="878"/>
      <c r="B133" s="878"/>
      <c r="C133" s="878"/>
      <c r="D133" s="878"/>
      <c r="E133" s="878"/>
      <c r="F133" s="878"/>
      <c r="G133" s="878"/>
      <c r="H133" s="878"/>
      <c r="I133" s="878"/>
      <c r="J133" s="878"/>
      <c r="K133" s="878"/>
      <c r="L133" s="878"/>
      <c r="M133" s="878"/>
      <c r="N133" s="878"/>
    </row>
    <row r="134" spans="1:14" x14ac:dyDescent="0.25">
      <c r="A134" s="878"/>
      <c r="B134" s="878"/>
      <c r="C134" s="878"/>
      <c r="D134" s="878"/>
      <c r="E134" s="878"/>
      <c r="F134" s="878"/>
      <c r="G134" s="878"/>
      <c r="H134" s="878"/>
      <c r="I134" s="878"/>
      <c r="J134" s="878"/>
      <c r="K134" s="878"/>
      <c r="L134" s="878"/>
      <c r="M134" s="878"/>
      <c r="N134" s="878"/>
    </row>
    <row r="135" spans="1:14" x14ac:dyDescent="0.25">
      <c r="A135" s="878"/>
      <c r="B135" s="878"/>
      <c r="C135" s="878"/>
      <c r="D135" s="878"/>
      <c r="E135" s="878"/>
      <c r="F135" s="878"/>
      <c r="G135" s="878"/>
      <c r="H135" s="878"/>
      <c r="I135" s="878"/>
      <c r="J135" s="878"/>
      <c r="K135" s="878"/>
      <c r="L135" s="878"/>
      <c r="M135" s="878"/>
      <c r="N135" s="878"/>
    </row>
    <row r="136" spans="1:14" x14ac:dyDescent="0.25">
      <c r="A136" s="878"/>
      <c r="B136" s="878"/>
      <c r="C136" s="878"/>
      <c r="D136" s="878"/>
      <c r="E136" s="878"/>
      <c r="F136" s="878"/>
      <c r="G136" s="878"/>
      <c r="H136" s="878"/>
      <c r="I136" s="878"/>
      <c r="J136" s="878"/>
      <c r="K136" s="878"/>
      <c r="L136" s="878"/>
      <c r="M136" s="878"/>
      <c r="N136" s="878"/>
    </row>
    <row r="137" spans="1:14" x14ac:dyDescent="0.25">
      <c r="A137" s="878"/>
      <c r="B137" s="878"/>
      <c r="C137" s="878"/>
      <c r="D137" s="878"/>
      <c r="E137" s="878"/>
      <c r="F137" s="878"/>
      <c r="G137" s="878"/>
      <c r="H137" s="878"/>
      <c r="I137" s="878"/>
      <c r="J137" s="878"/>
      <c r="K137" s="878"/>
      <c r="L137" s="878"/>
      <c r="M137" s="878"/>
      <c r="N137" s="878"/>
    </row>
    <row r="138" spans="1:14" x14ac:dyDescent="0.25">
      <c r="A138" s="878"/>
      <c r="B138" s="878"/>
      <c r="C138" s="878"/>
      <c r="D138" s="878"/>
      <c r="E138" s="878"/>
      <c r="F138" s="878"/>
      <c r="G138" s="878"/>
      <c r="H138" s="878"/>
      <c r="I138" s="878"/>
      <c r="J138" s="878"/>
      <c r="K138" s="878"/>
      <c r="L138" s="878"/>
      <c r="M138" s="878"/>
      <c r="N138" s="878"/>
    </row>
    <row r="139" spans="1:14" x14ac:dyDescent="0.25">
      <c r="A139" s="878"/>
      <c r="B139" s="878"/>
      <c r="C139" s="878"/>
      <c r="D139" s="878"/>
      <c r="E139" s="878"/>
      <c r="F139" s="878"/>
      <c r="G139" s="878"/>
      <c r="H139" s="878"/>
      <c r="I139" s="878"/>
      <c r="J139" s="878"/>
      <c r="K139" s="878"/>
      <c r="L139" s="878"/>
      <c r="M139" s="878"/>
      <c r="N139" s="878"/>
    </row>
    <row r="140" spans="1:14" x14ac:dyDescent="0.25">
      <c r="A140" s="878"/>
      <c r="B140" s="878"/>
      <c r="C140" s="878"/>
      <c r="D140" s="878"/>
      <c r="E140" s="878"/>
      <c r="F140" s="878"/>
      <c r="G140" s="878"/>
      <c r="H140" s="878"/>
      <c r="I140" s="878"/>
      <c r="J140" s="878"/>
      <c r="K140" s="878"/>
      <c r="L140" s="878"/>
      <c r="M140" s="878"/>
      <c r="N140" s="878"/>
    </row>
    <row r="141" spans="1:14" x14ac:dyDescent="0.25">
      <c r="A141" s="878"/>
      <c r="B141" s="878"/>
      <c r="C141" s="878"/>
      <c r="D141" s="878"/>
      <c r="E141" s="878"/>
      <c r="F141" s="878"/>
      <c r="G141" s="878"/>
      <c r="H141" s="878"/>
      <c r="I141" s="878"/>
      <c r="J141" s="878"/>
      <c r="K141" s="878"/>
      <c r="L141" s="878"/>
      <c r="M141" s="878"/>
      <c r="N141" s="878"/>
    </row>
    <row r="142" spans="1:14" x14ac:dyDescent="0.25">
      <c r="A142" s="878"/>
      <c r="B142" s="878"/>
      <c r="C142" s="878"/>
      <c r="D142" s="878"/>
      <c r="E142" s="878"/>
      <c r="F142" s="878"/>
      <c r="G142" s="878"/>
      <c r="H142" s="878"/>
      <c r="I142" s="878"/>
      <c r="J142" s="878"/>
      <c r="K142" s="878"/>
      <c r="L142" s="878"/>
      <c r="M142" s="878"/>
      <c r="N142" s="878"/>
    </row>
    <row r="143" spans="1:14" x14ac:dyDescent="0.25">
      <c r="A143" s="878"/>
      <c r="B143" s="878"/>
      <c r="C143" s="878"/>
      <c r="D143" s="878"/>
      <c r="E143" s="878"/>
      <c r="F143" s="878"/>
      <c r="G143" s="878"/>
      <c r="H143" s="878"/>
      <c r="I143" s="878"/>
      <c r="J143" s="878"/>
      <c r="K143" s="878"/>
      <c r="L143" s="878"/>
      <c r="M143" s="878"/>
      <c r="N143" s="878"/>
    </row>
    <row r="144" spans="1:14" x14ac:dyDescent="0.25">
      <c r="A144" s="878"/>
      <c r="B144" s="878"/>
      <c r="C144" s="878"/>
      <c r="D144" s="878"/>
      <c r="E144" s="878"/>
      <c r="F144" s="878"/>
      <c r="G144" s="878"/>
      <c r="H144" s="878"/>
      <c r="I144" s="878"/>
      <c r="J144" s="878"/>
      <c r="K144" s="878"/>
      <c r="L144" s="878"/>
      <c r="M144" s="878"/>
      <c r="N144" s="878"/>
    </row>
    <row r="145" spans="1:14" x14ac:dyDescent="0.25">
      <c r="A145" s="878"/>
      <c r="B145" s="878"/>
      <c r="C145" s="878"/>
      <c r="D145" s="878"/>
      <c r="E145" s="878"/>
      <c r="F145" s="878"/>
      <c r="G145" s="878"/>
      <c r="H145" s="878"/>
      <c r="I145" s="878"/>
      <c r="J145" s="878"/>
      <c r="K145" s="878"/>
      <c r="L145" s="878"/>
      <c r="M145" s="878"/>
      <c r="N145" s="878"/>
    </row>
    <row r="146" spans="1:14" x14ac:dyDescent="0.25">
      <c r="A146" s="878"/>
      <c r="B146" s="878"/>
      <c r="C146" s="878"/>
      <c r="D146" s="878"/>
      <c r="E146" s="878"/>
      <c r="F146" s="878"/>
      <c r="G146" s="878"/>
      <c r="H146" s="878"/>
      <c r="I146" s="878"/>
      <c r="J146" s="878"/>
      <c r="K146" s="878"/>
      <c r="L146" s="878"/>
      <c r="M146" s="878"/>
      <c r="N146" s="878"/>
    </row>
    <row r="147" spans="1:14" x14ac:dyDescent="0.25">
      <c r="A147" s="878"/>
      <c r="B147" s="878"/>
      <c r="C147" s="878"/>
      <c r="D147" s="878"/>
      <c r="E147" s="878"/>
      <c r="F147" s="878"/>
      <c r="G147" s="878"/>
      <c r="H147" s="878"/>
      <c r="I147" s="878"/>
      <c r="J147" s="878"/>
      <c r="K147" s="878"/>
      <c r="L147" s="878"/>
      <c r="M147" s="878"/>
      <c r="N147" s="878"/>
    </row>
    <row r="148" spans="1:14" x14ac:dyDescent="0.25">
      <c r="A148" s="878"/>
      <c r="B148" s="878"/>
      <c r="C148" s="878"/>
      <c r="D148" s="878"/>
      <c r="E148" s="878"/>
      <c r="F148" s="878"/>
      <c r="G148" s="878"/>
      <c r="H148" s="878"/>
      <c r="I148" s="878"/>
      <c r="J148" s="878"/>
      <c r="K148" s="878"/>
      <c r="L148" s="878"/>
      <c r="M148" s="878"/>
      <c r="N148" s="878"/>
    </row>
    <row r="149" spans="1:14" x14ac:dyDescent="0.25">
      <c r="A149" s="878"/>
      <c r="B149" s="878"/>
      <c r="C149" s="878"/>
      <c r="D149" s="878"/>
      <c r="E149" s="878"/>
      <c r="F149" s="878"/>
      <c r="G149" s="878"/>
      <c r="H149" s="878"/>
      <c r="I149" s="878"/>
      <c r="J149" s="878"/>
      <c r="K149" s="878"/>
      <c r="L149" s="878"/>
      <c r="M149" s="878"/>
      <c r="N149" s="878"/>
    </row>
    <row r="150" spans="1:14" x14ac:dyDescent="0.25">
      <c r="A150" s="878"/>
      <c r="B150" s="878"/>
      <c r="C150" s="878"/>
      <c r="D150" s="878"/>
      <c r="E150" s="878"/>
      <c r="F150" s="878"/>
      <c r="G150" s="878"/>
      <c r="H150" s="878"/>
      <c r="I150" s="878"/>
      <c r="J150" s="878"/>
      <c r="K150" s="878"/>
      <c r="L150" s="878"/>
      <c r="M150" s="878"/>
      <c r="N150" s="878"/>
    </row>
    <row r="151" spans="1:14" x14ac:dyDescent="0.25">
      <c r="A151" s="878"/>
      <c r="B151" s="878"/>
      <c r="C151" s="878"/>
      <c r="D151" s="878"/>
      <c r="E151" s="878"/>
      <c r="F151" s="878"/>
      <c r="G151" s="878"/>
      <c r="H151" s="878"/>
      <c r="I151" s="878"/>
      <c r="J151" s="878"/>
      <c r="K151" s="878"/>
      <c r="L151" s="878"/>
      <c r="M151" s="878"/>
      <c r="N151" s="878"/>
    </row>
    <row r="152" spans="1:14" x14ac:dyDescent="0.25">
      <c r="A152" s="878"/>
      <c r="B152" s="878"/>
      <c r="C152" s="878"/>
      <c r="D152" s="878"/>
      <c r="E152" s="878"/>
      <c r="F152" s="878"/>
      <c r="G152" s="878"/>
      <c r="H152" s="878"/>
      <c r="I152" s="878"/>
      <c r="J152" s="878"/>
      <c r="K152" s="878"/>
      <c r="L152" s="878"/>
      <c r="M152" s="878"/>
      <c r="N152" s="878"/>
    </row>
    <row r="153" spans="1:14" x14ac:dyDescent="0.25">
      <c r="A153" s="878"/>
      <c r="B153" s="878"/>
      <c r="C153" s="878"/>
      <c r="D153" s="878"/>
      <c r="E153" s="878"/>
      <c r="F153" s="878"/>
      <c r="G153" s="878"/>
      <c r="H153" s="878"/>
      <c r="I153" s="878"/>
      <c r="J153" s="878"/>
      <c r="K153" s="878"/>
      <c r="L153" s="878"/>
      <c r="M153" s="878"/>
      <c r="N153" s="878"/>
    </row>
    <row r="154" spans="1:14" x14ac:dyDescent="0.25">
      <c r="A154" s="878"/>
      <c r="B154" s="878"/>
      <c r="C154" s="878"/>
      <c r="D154" s="878"/>
      <c r="E154" s="878"/>
      <c r="F154" s="878"/>
      <c r="G154" s="878"/>
      <c r="H154" s="878"/>
      <c r="I154" s="878"/>
      <c r="J154" s="878"/>
      <c r="K154" s="878"/>
      <c r="L154" s="878"/>
      <c r="M154" s="878"/>
      <c r="N154" s="878"/>
    </row>
    <row r="155" spans="1:14" x14ac:dyDescent="0.25">
      <c r="A155" s="878"/>
      <c r="B155" s="878"/>
      <c r="C155" s="878"/>
      <c r="D155" s="878"/>
      <c r="E155" s="878"/>
      <c r="F155" s="878"/>
      <c r="G155" s="878"/>
      <c r="H155" s="878"/>
      <c r="I155" s="878"/>
      <c r="J155" s="878"/>
      <c r="K155" s="878"/>
      <c r="L155" s="878"/>
      <c r="M155" s="878"/>
      <c r="N155" s="878"/>
    </row>
    <row r="156" spans="1:14" x14ac:dyDescent="0.25">
      <c r="A156" s="878"/>
      <c r="B156" s="878"/>
      <c r="C156" s="878"/>
      <c r="D156" s="878"/>
      <c r="E156" s="878"/>
      <c r="F156" s="878"/>
      <c r="G156" s="878"/>
      <c r="H156" s="878"/>
      <c r="I156" s="878"/>
      <c r="J156" s="878"/>
      <c r="K156" s="878"/>
      <c r="L156" s="878"/>
      <c r="M156" s="878"/>
      <c r="N156" s="878"/>
    </row>
    <row r="157" spans="1:14" x14ac:dyDescent="0.25">
      <c r="A157" s="878"/>
      <c r="B157" s="878"/>
      <c r="C157" s="878"/>
      <c r="D157" s="878"/>
      <c r="E157" s="878"/>
      <c r="F157" s="878"/>
      <c r="G157" s="878"/>
      <c r="H157" s="878"/>
      <c r="I157" s="878"/>
      <c r="J157" s="878"/>
      <c r="K157" s="878"/>
      <c r="L157" s="878"/>
      <c r="M157" s="878"/>
      <c r="N157" s="878"/>
    </row>
    <row r="158" spans="1:14" x14ac:dyDescent="0.25">
      <c r="A158" s="878"/>
      <c r="B158" s="878"/>
      <c r="C158" s="878"/>
      <c r="D158" s="878"/>
      <c r="E158" s="878"/>
      <c r="F158" s="878"/>
      <c r="G158" s="878"/>
      <c r="H158" s="878"/>
      <c r="I158" s="878"/>
      <c r="J158" s="878"/>
      <c r="K158" s="878"/>
      <c r="L158" s="878"/>
      <c r="M158" s="878"/>
      <c r="N158" s="878"/>
    </row>
    <row r="159" spans="1:14" x14ac:dyDescent="0.25">
      <c r="A159" s="878"/>
      <c r="B159" s="878"/>
      <c r="C159" s="878"/>
      <c r="D159" s="878"/>
      <c r="E159" s="878"/>
      <c r="F159" s="878"/>
      <c r="G159" s="878"/>
      <c r="H159" s="878"/>
      <c r="I159" s="878"/>
      <c r="J159" s="878"/>
      <c r="K159" s="878"/>
      <c r="L159" s="878"/>
      <c r="M159" s="878"/>
      <c r="N159" s="878"/>
    </row>
    <row r="160" spans="1:14" x14ac:dyDescent="0.25">
      <c r="A160" s="878"/>
      <c r="B160" s="878"/>
      <c r="C160" s="878"/>
      <c r="D160" s="878"/>
      <c r="E160" s="878"/>
      <c r="F160" s="878"/>
      <c r="G160" s="878"/>
      <c r="H160" s="878"/>
      <c r="I160" s="878"/>
      <c r="J160" s="878"/>
      <c r="K160" s="878"/>
      <c r="L160" s="878"/>
      <c r="M160" s="878"/>
      <c r="N160" s="878"/>
    </row>
    <row r="161" spans="1:14" x14ac:dyDescent="0.25">
      <c r="A161" s="878"/>
      <c r="B161" s="878"/>
      <c r="C161" s="878"/>
      <c r="D161" s="878"/>
      <c r="E161" s="878"/>
      <c r="F161" s="878"/>
      <c r="G161" s="878"/>
      <c r="H161" s="878"/>
      <c r="I161" s="878"/>
      <c r="J161" s="878"/>
      <c r="K161" s="878"/>
      <c r="L161" s="878"/>
      <c r="M161" s="878"/>
      <c r="N161" s="878"/>
    </row>
    <row r="162" spans="1:14" x14ac:dyDescent="0.25">
      <c r="A162" s="878"/>
      <c r="B162" s="878"/>
      <c r="C162" s="878"/>
      <c r="D162" s="878"/>
      <c r="E162" s="878"/>
      <c r="F162" s="878"/>
      <c r="G162" s="878"/>
      <c r="H162" s="878"/>
      <c r="I162" s="878"/>
      <c r="J162" s="878"/>
      <c r="K162" s="878"/>
      <c r="L162" s="878"/>
      <c r="M162" s="878"/>
      <c r="N162" s="878"/>
    </row>
    <row r="163" spans="1:14" x14ac:dyDescent="0.25">
      <c r="A163" s="878"/>
      <c r="B163" s="878"/>
      <c r="C163" s="878"/>
      <c r="D163" s="878"/>
      <c r="E163" s="878"/>
      <c r="F163" s="878"/>
      <c r="G163" s="878"/>
      <c r="H163" s="878"/>
      <c r="I163" s="878"/>
      <c r="J163" s="878"/>
      <c r="K163" s="878"/>
      <c r="L163" s="878"/>
      <c r="M163" s="878"/>
      <c r="N163" s="878"/>
    </row>
    <row r="164" spans="1:14" x14ac:dyDescent="0.25">
      <c r="A164" s="878"/>
      <c r="B164" s="878"/>
      <c r="C164" s="878"/>
      <c r="D164" s="878"/>
      <c r="E164" s="878"/>
      <c r="F164" s="878"/>
      <c r="G164" s="878"/>
      <c r="H164" s="878"/>
      <c r="I164" s="878"/>
      <c r="J164" s="878"/>
      <c r="K164" s="878"/>
      <c r="L164" s="878"/>
      <c r="M164" s="878"/>
      <c r="N164" s="878"/>
    </row>
    <row r="165" spans="1:14" x14ac:dyDescent="0.25">
      <c r="A165" s="878"/>
      <c r="B165" s="878"/>
      <c r="C165" s="878"/>
      <c r="D165" s="878"/>
      <c r="E165" s="878"/>
      <c r="F165" s="878"/>
      <c r="G165" s="878"/>
      <c r="H165" s="878"/>
      <c r="I165" s="878"/>
      <c r="J165" s="878"/>
      <c r="K165" s="878"/>
      <c r="L165" s="878"/>
      <c r="M165" s="878"/>
      <c r="N165" s="878"/>
    </row>
    <row r="166" spans="1:14" x14ac:dyDescent="0.25">
      <c r="A166" s="878"/>
      <c r="B166" s="878"/>
      <c r="C166" s="878"/>
      <c r="D166" s="878"/>
      <c r="E166" s="878"/>
      <c r="F166" s="878"/>
      <c r="G166" s="878"/>
      <c r="H166" s="878"/>
      <c r="I166" s="878"/>
      <c r="J166" s="878"/>
      <c r="K166" s="878"/>
      <c r="L166" s="878"/>
      <c r="M166" s="878"/>
      <c r="N166" s="878"/>
    </row>
    <row r="167" spans="1:14" x14ac:dyDescent="0.25">
      <c r="A167" s="878"/>
      <c r="B167" s="878"/>
      <c r="C167" s="878"/>
      <c r="D167" s="878"/>
      <c r="E167" s="878"/>
      <c r="F167" s="878"/>
      <c r="G167" s="878"/>
      <c r="H167" s="878"/>
      <c r="I167" s="878"/>
      <c r="J167" s="878"/>
      <c r="K167" s="878"/>
      <c r="L167" s="878"/>
      <c r="M167" s="878"/>
      <c r="N167" s="878"/>
    </row>
    <row r="168" spans="1:14" x14ac:dyDescent="0.25">
      <c r="A168" s="878"/>
      <c r="B168" s="878"/>
      <c r="C168" s="878"/>
      <c r="D168" s="878"/>
      <c r="E168" s="878"/>
      <c r="F168" s="878"/>
      <c r="G168" s="878"/>
      <c r="H168" s="878"/>
      <c r="I168" s="878"/>
      <c r="J168" s="878"/>
      <c r="K168" s="878"/>
      <c r="L168" s="878"/>
      <c r="M168" s="878"/>
      <c r="N168" s="878"/>
    </row>
    <row r="169" spans="1:14" x14ac:dyDescent="0.25">
      <c r="A169" s="878"/>
      <c r="B169" s="878"/>
      <c r="C169" s="878"/>
      <c r="D169" s="878"/>
      <c r="E169" s="878"/>
      <c r="F169" s="878"/>
      <c r="G169" s="878"/>
      <c r="H169" s="878"/>
      <c r="I169" s="878"/>
      <c r="J169" s="878"/>
      <c r="K169" s="878"/>
      <c r="L169" s="878"/>
      <c r="M169" s="878"/>
      <c r="N169" s="878"/>
    </row>
    <row r="170" spans="1:14" x14ac:dyDescent="0.25">
      <c r="A170" s="878"/>
      <c r="B170" s="878"/>
      <c r="C170" s="878"/>
      <c r="D170" s="878"/>
      <c r="E170" s="878"/>
      <c r="F170" s="878"/>
      <c r="G170" s="878"/>
      <c r="H170" s="878"/>
      <c r="I170" s="878"/>
      <c r="J170" s="878"/>
      <c r="K170" s="878"/>
      <c r="L170" s="878"/>
      <c r="M170" s="878"/>
      <c r="N170" s="878"/>
    </row>
    <row r="171" spans="1:14" x14ac:dyDescent="0.25">
      <c r="A171" s="878"/>
      <c r="B171" s="878"/>
      <c r="C171" s="878"/>
      <c r="D171" s="878"/>
      <c r="E171" s="878"/>
      <c r="F171" s="878"/>
      <c r="G171" s="878"/>
      <c r="H171" s="878"/>
      <c r="I171" s="878"/>
      <c r="J171" s="878"/>
      <c r="K171" s="878"/>
      <c r="L171" s="878"/>
      <c r="M171" s="878"/>
      <c r="N171" s="878"/>
    </row>
    <row r="172" spans="1:14" x14ac:dyDescent="0.25">
      <c r="A172" s="878"/>
      <c r="B172" s="878"/>
      <c r="C172" s="878"/>
      <c r="D172" s="878"/>
      <c r="E172" s="878"/>
      <c r="F172" s="878"/>
      <c r="G172" s="878"/>
      <c r="H172" s="878"/>
      <c r="I172" s="878"/>
      <c r="J172" s="878"/>
      <c r="K172" s="878"/>
      <c r="L172" s="878"/>
      <c r="M172" s="878"/>
      <c r="N172" s="878"/>
    </row>
    <row r="173" spans="1:14" x14ac:dyDescent="0.25">
      <c r="A173" s="878"/>
      <c r="B173" s="878"/>
      <c r="C173" s="878"/>
      <c r="D173" s="878"/>
      <c r="E173" s="878"/>
      <c r="F173" s="878"/>
      <c r="G173" s="878"/>
      <c r="H173" s="878"/>
      <c r="I173" s="878"/>
      <c r="J173" s="878"/>
      <c r="K173" s="878"/>
      <c r="L173" s="878"/>
      <c r="M173" s="878"/>
      <c r="N173" s="878"/>
    </row>
    <row r="174" spans="1:14" x14ac:dyDescent="0.25">
      <c r="A174" s="878"/>
      <c r="B174" s="878"/>
      <c r="C174" s="878"/>
      <c r="D174" s="878"/>
      <c r="E174" s="878"/>
      <c r="F174" s="878"/>
      <c r="G174" s="878"/>
      <c r="H174" s="878"/>
      <c r="I174" s="878"/>
      <c r="J174" s="878"/>
      <c r="K174" s="878"/>
      <c r="L174" s="878"/>
      <c r="M174" s="878"/>
      <c r="N174" s="878"/>
    </row>
    <row r="175" spans="1:14" x14ac:dyDescent="0.25">
      <c r="A175" s="878"/>
      <c r="B175" s="878"/>
      <c r="C175" s="878"/>
      <c r="D175" s="878"/>
      <c r="E175" s="878"/>
      <c r="F175" s="878"/>
      <c r="G175" s="878"/>
      <c r="H175" s="878"/>
      <c r="I175" s="878"/>
      <c r="J175" s="878"/>
      <c r="K175" s="878"/>
      <c r="L175" s="878"/>
      <c r="M175" s="878"/>
      <c r="N175" s="878"/>
    </row>
    <row r="176" spans="1:14" x14ac:dyDescent="0.25">
      <c r="A176" s="878"/>
      <c r="B176" s="878"/>
      <c r="C176" s="878"/>
      <c r="D176" s="878"/>
      <c r="E176" s="878"/>
      <c r="F176" s="878"/>
      <c r="G176" s="878"/>
      <c r="H176" s="878"/>
      <c r="I176" s="878"/>
      <c r="J176" s="878"/>
      <c r="K176" s="878"/>
      <c r="L176" s="878"/>
      <c r="M176" s="878"/>
      <c r="N176" s="878"/>
    </row>
    <row r="177" spans="1:14" x14ac:dyDescent="0.25">
      <c r="A177" s="878"/>
      <c r="B177" s="878"/>
      <c r="C177" s="878"/>
      <c r="D177" s="878"/>
      <c r="E177" s="878"/>
      <c r="F177" s="878"/>
      <c r="G177" s="878"/>
      <c r="H177" s="878"/>
      <c r="I177" s="878"/>
      <c r="J177" s="878"/>
      <c r="K177" s="878"/>
      <c r="L177" s="878"/>
      <c r="M177" s="878"/>
      <c r="N177" s="878"/>
    </row>
    <row r="178" spans="1:14" x14ac:dyDescent="0.25">
      <c r="A178" s="878"/>
      <c r="B178" s="878"/>
      <c r="C178" s="878"/>
      <c r="D178" s="878"/>
      <c r="E178" s="878"/>
      <c r="F178" s="878"/>
      <c r="G178" s="878"/>
      <c r="H178" s="878"/>
      <c r="I178" s="878"/>
      <c r="J178" s="878"/>
      <c r="K178" s="878"/>
      <c r="L178" s="878"/>
      <c r="M178" s="878"/>
      <c r="N178" s="878"/>
    </row>
    <row r="179" spans="1:14" x14ac:dyDescent="0.25">
      <c r="A179" s="878"/>
      <c r="B179" s="878"/>
      <c r="C179" s="878"/>
      <c r="D179" s="878"/>
      <c r="E179" s="878"/>
      <c r="F179" s="878"/>
      <c r="G179" s="878"/>
      <c r="H179" s="878"/>
      <c r="I179" s="878"/>
      <c r="J179" s="878"/>
      <c r="K179" s="878"/>
      <c r="L179" s="878"/>
      <c r="M179" s="878"/>
      <c r="N179" s="878"/>
    </row>
    <row r="180" spans="1:14" x14ac:dyDescent="0.25">
      <c r="A180" s="878"/>
      <c r="B180" s="878"/>
      <c r="C180" s="878"/>
      <c r="D180" s="878"/>
      <c r="E180" s="878"/>
      <c r="F180" s="878"/>
      <c r="G180" s="878"/>
      <c r="H180" s="878"/>
      <c r="I180" s="878"/>
      <c r="J180" s="878"/>
      <c r="K180" s="878"/>
      <c r="L180" s="878"/>
      <c r="M180" s="878"/>
      <c r="N180" s="878"/>
    </row>
    <row r="181" spans="1:14" x14ac:dyDescent="0.25">
      <c r="A181" s="878"/>
      <c r="B181" s="878"/>
      <c r="C181" s="878"/>
      <c r="D181" s="878"/>
      <c r="E181" s="878"/>
      <c r="F181" s="878"/>
      <c r="G181" s="878"/>
      <c r="H181" s="878"/>
      <c r="I181" s="878"/>
      <c r="J181" s="878"/>
      <c r="K181" s="878"/>
      <c r="L181" s="878"/>
      <c r="M181" s="878"/>
      <c r="N181" s="878"/>
    </row>
    <row r="182" spans="1:14" x14ac:dyDescent="0.25">
      <c r="A182" s="878"/>
      <c r="B182" s="878"/>
      <c r="C182" s="878"/>
      <c r="D182" s="878"/>
      <c r="E182" s="878"/>
      <c r="F182" s="878"/>
      <c r="G182" s="878"/>
      <c r="H182" s="878"/>
      <c r="I182" s="878"/>
      <c r="J182" s="878"/>
      <c r="K182" s="878"/>
      <c r="L182" s="878"/>
      <c r="M182" s="878"/>
      <c r="N182" s="878"/>
    </row>
    <row r="183" spans="1:14" x14ac:dyDescent="0.25">
      <c r="A183" s="878"/>
      <c r="B183" s="878"/>
      <c r="C183" s="878"/>
      <c r="D183" s="878"/>
      <c r="E183" s="878"/>
      <c r="F183" s="878"/>
      <c r="G183" s="878"/>
      <c r="H183" s="878"/>
      <c r="I183" s="878"/>
      <c r="J183" s="878"/>
      <c r="K183" s="878"/>
      <c r="L183" s="878"/>
      <c r="M183" s="878"/>
      <c r="N183" s="878"/>
    </row>
    <row r="184" spans="1:14" x14ac:dyDescent="0.25">
      <c r="A184" s="878"/>
      <c r="B184" s="878"/>
      <c r="C184" s="878"/>
      <c r="D184" s="878"/>
      <c r="E184" s="878"/>
      <c r="F184" s="878"/>
      <c r="G184" s="878"/>
      <c r="H184" s="878"/>
      <c r="I184" s="878"/>
      <c r="J184" s="878"/>
      <c r="K184" s="878"/>
      <c r="L184" s="878"/>
      <c r="M184" s="878"/>
      <c r="N184" s="878"/>
    </row>
    <row r="185" spans="1:14" x14ac:dyDescent="0.25">
      <c r="A185" s="878"/>
      <c r="B185" s="878"/>
      <c r="C185" s="878"/>
      <c r="D185" s="878"/>
      <c r="E185" s="878"/>
      <c r="F185" s="878"/>
      <c r="G185" s="878"/>
      <c r="H185" s="878"/>
      <c r="I185" s="878"/>
      <c r="J185" s="878"/>
      <c r="K185" s="878"/>
      <c r="L185" s="878"/>
      <c r="M185" s="878"/>
      <c r="N185" s="878"/>
    </row>
    <row r="186" spans="1:14" x14ac:dyDescent="0.25">
      <c r="A186" s="878"/>
      <c r="B186" s="878"/>
      <c r="C186" s="878"/>
      <c r="D186" s="878"/>
      <c r="E186" s="878"/>
      <c r="F186" s="878"/>
      <c r="G186" s="878"/>
      <c r="H186" s="878"/>
      <c r="I186" s="878"/>
      <c r="J186" s="878"/>
      <c r="K186" s="878"/>
      <c r="L186" s="878"/>
      <c r="M186" s="878"/>
      <c r="N186" s="878"/>
    </row>
    <row r="187" spans="1:14" x14ac:dyDescent="0.25">
      <c r="A187" s="878"/>
      <c r="B187" s="878"/>
      <c r="C187" s="878"/>
      <c r="D187" s="878"/>
      <c r="E187" s="878"/>
      <c r="F187" s="878"/>
      <c r="G187" s="878"/>
      <c r="H187" s="878"/>
      <c r="I187" s="878"/>
      <c r="J187" s="878"/>
      <c r="K187" s="878"/>
      <c r="L187" s="878"/>
      <c r="M187" s="878"/>
      <c r="N187" s="878"/>
    </row>
    <row r="188" spans="1:14" x14ac:dyDescent="0.25">
      <c r="A188" s="878"/>
      <c r="B188" s="878"/>
      <c r="C188" s="878"/>
      <c r="D188" s="878"/>
      <c r="E188" s="878"/>
      <c r="F188" s="878"/>
      <c r="G188" s="878"/>
      <c r="H188" s="878"/>
      <c r="I188" s="878"/>
      <c r="J188" s="878"/>
      <c r="K188" s="878"/>
      <c r="L188" s="878"/>
      <c r="M188" s="878"/>
      <c r="N188" s="878"/>
    </row>
    <row r="189" spans="1:14" x14ac:dyDescent="0.25">
      <c r="A189" s="878"/>
      <c r="B189" s="878"/>
      <c r="C189" s="878"/>
      <c r="D189" s="878"/>
      <c r="E189" s="878"/>
      <c r="F189" s="878"/>
      <c r="G189" s="878"/>
      <c r="H189" s="878"/>
      <c r="I189" s="878"/>
      <c r="J189" s="878"/>
      <c r="K189" s="878"/>
      <c r="L189" s="878"/>
      <c r="M189" s="878"/>
      <c r="N189" s="878"/>
    </row>
    <row r="190" spans="1:14" x14ac:dyDescent="0.25">
      <c r="A190" s="878"/>
      <c r="B190" s="878"/>
      <c r="C190" s="878"/>
      <c r="D190" s="878"/>
      <c r="E190" s="878"/>
      <c r="F190" s="878"/>
      <c r="G190" s="878"/>
      <c r="H190" s="878"/>
      <c r="I190" s="878"/>
      <c r="J190" s="878"/>
      <c r="K190" s="878"/>
      <c r="L190" s="878"/>
      <c r="M190" s="878"/>
      <c r="N190" s="878"/>
    </row>
    <row r="191" spans="1:14" x14ac:dyDescent="0.25">
      <c r="A191" s="878"/>
      <c r="B191" s="878"/>
      <c r="C191" s="878"/>
      <c r="D191" s="878"/>
      <c r="E191" s="878"/>
      <c r="F191" s="878"/>
      <c r="G191" s="878"/>
      <c r="H191" s="878"/>
      <c r="I191" s="878"/>
      <c r="J191" s="878"/>
      <c r="K191" s="878"/>
      <c r="L191" s="878"/>
      <c r="M191" s="878"/>
      <c r="N191" s="878"/>
    </row>
    <row r="192" spans="1:14" x14ac:dyDescent="0.25">
      <c r="A192" s="878"/>
      <c r="B192" s="878"/>
      <c r="C192" s="878"/>
      <c r="D192" s="878"/>
      <c r="E192" s="878"/>
      <c r="F192" s="878"/>
      <c r="G192" s="878"/>
      <c r="H192" s="878"/>
      <c r="I192" s="878"/>
      <c r="J192" s="878"/>
      <c r="K192" s="878"/>
      <c r="L192" s="878"/>
      <c r="M192" s="878"/>
      <c r="N192" s="878"/>
    </row>
    <row r="193" spans="1:14" x14ac:dyDescent="0.25">
      <c r="A193" s="878"/>
      <c r="B193" s="878"/>
      <c r="C193" s="878"/>
      <c r="D193" s="878"/>
      <c r="E193" s="878"/>
      <c r="F193" s="878"/>
      <c r="G193" s="878"/>
      <c r="H193" s="878"/>
      <c r="I193" s="878"/>
      <c r="J193" s="878"/>
      <c r="K193" s="878"/>
      <c r="L193" s="878"/>
      <c r="M193" s="878"/>
      <c r="N193" s="878"/>
    </row>
    <row r="194" spans="1:14" x14ac:dyDescent="0.25">
      <c r="A194" s="878"/>
      <c r="B194" s="878"/>
      <c r="C194" s="878"/>
      <c r="D194" s="878"/>
      <c r="E194" s="878"/>
      <c r="F194" s="878"/>
      <c r="G194" s="878"/>
      <c r="H194" s="878"/>
      <c r="I194" s="878"/>
      <c r="J194" s="878"/>
      <c r="K194" s="878"/>
      <c r="L194" s="878"/>
      <c r="M194" s="878"/>
      <c r="N194" s="878"/>
    </row>
    <row r="195" spans="1:14" x14ac:dyDescent="0.25">
      <c r="A195" s="878"/>
      <c r="B195" s="878"/>
      <c r="C195" s="878"/>
      <c r="D195" s="878"/>
      <c r="E195" s="878"/>
      <c r="F195" s="878"/>
      <c r="G195" s="878"/>
      <c r="H195" s="878"/>
      <c r="I195" s="878"/>
      <c r="J195" s="878"/>
      <c r="K195" s="878"/>
      <c r="L195" s="878"/>
      <c r="M195" s="878"/>
      <c r="N195" s="878"/>
    </row>
    <row r="196" spans="1:14" x14ac:dyDescent="0.25">
      <c r="A196" s="878"/>
      <c r="B196" s="878"/>
      <c r="C196" s="878"/>
      <c r="D196" s="878"/>
      <c r="E196" s="878"/>
      <c r="F196" s="878"/>
      <c r="G196" s="878"/>
      <c r="H196" s="878"/>
      <c r="I196" s="878"/>
      <c r="J196" s="878"/>
      <c r="K196" s="878"/>
      <c r="L196" s="878"/>
      <c r="M196" s="878"/>
      <c r="N196" s="878"/>
    </row>
    <row r="197" spans="1:14" x14ac:dyDescent="0.25">
      <c r="A197" s="878"/>
      <c r="B197" s="878"/>
      <c r="C197" s="878"/>
      <c r="D197" s="878"/>
      <c r="E197" s="878"/>
      <c r="F197" s="878"/>
      <c r="G197" s="878"/>
      <c r="H197" s="878"/>
      <c r="I197" s="878"/>
      <c r="J197" s="878"/>
      <c r="K197" s="878"/>
      <c r="L197" s="878"/>
      <c r="M197" s="878"/>
      <c r="N197" s="878"/>
    </row>
    <row r="198" spans="1:14" x14ac:dyDescent="0.25">
      <c r="A198" s="878"/>
      <c r="B198" s="878"/>
      <c r="C198" s="878"/>
      <c r="D198" s="878"/>
      <c r="E198" s="878"/>
      <c r="F198" s="878"/>
      <c r="G198" s="878"/>
      <c r="H198" s="878"/>
      <c r="I198" s="878"/>
      <c r="J198" s="878"/>
      <c r="K198" s="878"/>
      <c r="L198" s="878"/>
      <c r="M198" s="878"/>
      <c r="N198" s="878"/>
    </row>
    <row r="199" spans="1:14" x14ac:dyDescent="0.25">
      <c r="A199" s="878"/>
      <c r="B199" s="878"/>
      <c r="C199" s="878"/>
      <c r="D199" s="878"/>
      <c r="E199" s="878"/>
      <c r="F199" s="878"/>
      <c r="G199" s="878"/>
      <c r="H199" s="878"/>
      <c r="I199" s="878"/>
      <c r="J199" s="878"/>
      <c r="K199" s="878"/>
      <c r="L199" s="878"/>
      <c r="M199" s="878"/>
      <c r="N199" s="878"/>
    </row>
    <row r="200" spans="1:14" x14ac:dyDescent="0.25">
      <c r="A200" s="878"/>
      <c r="B200" s="878"/>
      <c r="C200" s="878"/>
      <c r="D200" s="878"/>
      <c r="E200" s="878"/>
      <c r="F200" s="878"/>
      <c r="G200" s="878"/>
      <c r="H200" s="878"/>
      <c r="I200" s="878"/>
      <c r="J200" s="878"/>
      <c r="K200" s="878"/>
      <c r="L200" s="878"/>
      <c r="M200" s="878"/>
      <c r="N200" s="878"/>
    </row>
    <row r="201" spans="1:14" x14ac:dyDescent="0.25">
      <c r="A201" s="878"/>
      <c r="B201" s="878"/>
      <c r="C201" s="878"/>
      <c r="D201" s="878"/>
      <c r="E201" s="878"/>
      <c r="F201" s="878"/>
      <c r="G201" s="878"/>
      <c r="H201" s="878"/>
      <c r="I201" s="878"/>
      <c r="J201" s="878"/>
      <c r="K201" s="878"/>
      <c r="L201" s="878"/>
      <c r="M201" s="878"/>
      <c r="N201" s="878"/>
    </row>
    <row r="202" spans="1:14" x14ac:dyDescent="0.25">
      <c r="A202" s="878"/>
      <c r="B202" s="878"/>
      <c r="C202" s="878"/>
      <c r="D202" s="878"/>
      <c r="E202" s="878"/>
      <c r="F202" s="878"/>
      <c r="G202" s="878"/>
      <c r="H202" s="878"/>
      <c r="I202" s="878"/>
      <c r="J202" s="878"/>
      <c r="K202" s="878"/>
      <c r="L202" s="878"/>
      <c r="M202" s="878"/>
      <c r="N202" s="878"/>
    </row>
    <row r="203" spans="1:14" x14ac:dyDescent="0.25">
      <c r="A203" s="878"/>
      <c r="B203" s="878"/>
      <c r="C203" s="878"/>
      <c r="D203" s="878"/>
      <c r="E203" s="878"/>
      <c r="F203" s="878"/>
      <c r="G203" s="878"/>
      <c r="H203" s="878"/>
      <c r="I203" s="878"/>
      <c r="J203" s="878"/>
      <c r="K203" s="878"/>
      <c r="L203" s="878"/>
      <c r="M203" s="878"/>
      <c r="N203" s="878"/>
    </row>
    <row r="204" spans="1:14" x14ac:dyDescent="0.25">
      <c r="A204" s="878"/>
      <c r="B204" s="878"/>
      <c r="C204" s="878"/>
      <c r="D204" s="878"/>
      <c r="E204" s="878"/>
      <c r="F204" s="878"/>
      <c r="G204" s="878"/>
      <c r="H204" s="878"/>
      <c r="I204" s="878"/>
      <c r="J204" s="878"/>
      <c r="K204" s="878"/>
      <c r="L204" s="878"/>
      <c r="M204" s="878"/>
      <c r="N204" s="878"/>
    </row>
    <row r="205" spans="1:14" x14ac:dyDescent="0.25">
      <c r="A205" s="878"/>
      <c r="B205" s="878"/>
      <c r="C205" s="878"/>
      <c r="D205" s="878"/>
      <c r="E205" s="878"/>
      <c r="F205" s="878"/>
      <c r="G205" s="878"/>
      <c r="H205" s="878"/>
      <c r="I205" s="878"/>
      <c r="J205" s="878"/>
      <c r="K205" s="878"/>
      <c r="L205" s="878"/>
      <c r="M205" s="878"/>
      <c r="N205" s="878"/>
    </row>
    <row r="206" spans="1:14" x14ac:dyDescent="0.25">
      <c r="A206" s="878"/>
      <c r="B206" s="878"/>
      <c r="C206" s="878"/>
      <c r="D206" s="878"/>
      <c r="E206" s="878"/>
      <c r="F206" s="878"/>
      <c r="G206" s="878"/>
      <c r="H206" s="878"/>
      <c r="I206" s="878"/>
      <c r="J206" s="878"/>
      <c r="K206" s="878"/>
      <c r="L206" s="878"/>
      <c r="M206" s="878"/>
      <c r="N206" s="878"/>
    </row>
    <row r="207" spans="1:14" x14ac:dyDescent="0.25">
      <c r="A207" s="878"/>
      <c r="B207" s="878"/>
      <c r="C207" s="878"/>
      <c r="D207" s="878"/>
      <c r="E207" s="878"/>
      <c r="F207" s="878"/>
      <c r="G207" s="878"/>
      <c r="H207" s="878"/>
      <c r="I207" s="878"/>
      <c r="J207" s="878"/>
      <c r="K207" s="878"/>
      <c r="L207" s="878"/>
      <c r="M207" s="878"/>
      <c r="N207" s="878"/>
    </row>
    <row r="208" spans="1:14" x14ac:dyDescent="0.25">
      <c r="A208" s="878"/>
      <c r="B208" s="878"/>
      <c r="C208" s="878"/>
      <c r="D208" s="878"/>
      <c r="E208" s="878"/>
      <c r="F208" s="878"/>
      <c r="G208" s="878"/>
      <c r="H208" s="878"/>
      <c r="I208" s="878"/>
      <c r="J208" s="879"/>
      <c r="K208" s="879"/>
      <c r="L208" s="879"/>
      <c r="M208" s="879"/>
      <c r="N208" s="879"/>
    </row>
    <row r="209" spans="1:9" x14ac:dyDescent="0.25">
      <c r="A209" s="878"/>
      <c r="B209" s="878"/>
      <c r="C209" s="878"/>
      <c r="D209" s="878"/>
      <c r="E209" s="878"/>
      <c r="F209" s="878"/>
      <c r="G209" s="878"/>
      <c r="H209" s="878"/>
      <c r="I209" s="878"/>
    </row>
    <row r="210" spans="1:9" x14ac:dyDescent="0.25">
      <c r="A210" s="878"/>
      <c r="B210" s="878"/>
      <c r="C210" s="878"/>
      <c r="D210" s="878"/>
      <c r="E210" s="878"/>
      <c r="F210" s="878"/>
      <c r="G210" s="878"/>
      <c r="H210" s="878"/>
      <c r="I210" s="878"/>
    </row>
    <row r="211" spans="1:9" x14ac:dyDescent="0.25">
      <c r="A211" s="878"/>
      <c r="B211" s="878"/>
      <c r="C211" s="878"/>
      <c r="D211" s="878"/>
      <c r="E211" s="878"/>
      <c r="F211" s="878"/>
      <c r="G211" s="878"/>
      <c r="H211" s="878"/>
      <c r="I211" s="878"/>
    </row>
    <row r="212" spans="1:9" x14ac:dyDescent="0.25">
      <c r="A212" s="878"/>
      <c r="B212" s="878"/>
      <c r="C212" s="878"/>
      <c r="D212" s="878"/>
      <c r="E212" s="878"/>
      <c r="F212" s="878"/>
      <c r="G212" s="878"/>
      <c r="H212" s="878"/>
      <c r="I212" s="878"/>
    </row>
    <row r="213" spans="1:9" x14ac:dyDescent="0.25">
      <c r="A213" s="878"/>
      <c r="B213" s="878"/>
      <c r="C213" s="878"/>
      <c r="D213" s="878"/>
      <c r="E213" s="878"/>
      <c r="F213" s="878"/>
      <c r="G213" s="878"/>
      <c r="H213" s="878"/>
      <c r="I213" s="878"/>
    </row>
    <row r="214" spans="1:9" x14ac:dyDescent="0.25">
      <c r="A214" s="878"/>
      <c r="B214" s="878"/>
      <c r="C214" s="878"/>
      <c r="D214" s="878"/>
      <c r="E214" s="878"/>
      <c r="F214" s="878"/>
      <c r="G214" s="878"/>
      <c r="H214" s="878"/>
      <c r="I214" s="878"/>
    </row>
    <row r="215" spans="1:9" x14ac:dyDescent="0.25">
      <c r="A215" s="878"/>
      <c r="B215" s="878"/>
      <c r="C215" s="878"/>
      <c r="D215" s="878"/>
      <c r="E215" s="878"/>
      <c r="F215" s="878"/>
      <c r="G215" s="878"/>
      <c r="H215" s="878"/>
      <c r="I215" s="878"/>
    </row>
    <row r="216" spans="1:9" x14ac:dyDescent="0.25">
      <c r="A216" s="878"/>
      <c r="B216" s="878"/>
      <c r="C216" s="878"/>
      <c r="D216" s="878"/>
      <c r="E216" s="878"/>
      <c r="F216" s="878"/>
      <c r="G216" s="878"/>
      <c r="H216" s="878"/>
      <c r="I216" s="878"/>
    </row>
    <row r="217" spans="1:9" x14ac:dyDescent="0.25">
      <c r="A217" s="878"/>
      <c r="B217" s="878"/>
      <c r="C217" s="878"/>
      <c r="D217" s="878"/>
      <c r="E217" s="878"/>
      <c r="F217" s="878"/>
      <c r="G217" s="878"/>
      <c r="H217" s="878"/>
      <c r="I217" s="878"/>
    </row>
    <row r="218" spans="1:9" x14ac:dyDescent="0.25">
      <c r="A218" s="878"/>
      <c r="B218" s="878"/>
      <c r="C218" s="878"/>
      <c r="D218" s="878"/>
      <c r="E218" s="878"/>
      <c r="F218" s="878"/>
      <c r="G218" s="878"/>
      <c r="H218" s="878"/>
      <c r="I218" s="878"/>
    </row>
    <row r="219" spans="1:9" x14ac:dyDescent="0.25">
      <c r="A219" s="878"/>
      <c r="B219" s="878"/>
      <c r="C219" s="878"/>
      <c r="D219" s="878"/>
      <c r="E219" s="878"/>
      <c r="F219" s="878"/>
      <c r="G219" s="878"/>
      <c r="H219" s="878"/>
      <c r="I219" s="878"/>
    </row>
    <row r="220" spans="1:9" x14ac:dyDescent="0.25">
      <c r="A220" s="878"/>
      <c r="B220" s="878"/>
      <c r="C220" s="878"/>
      <c r="D220" s="878"/>
      <c r="E220" s="878"/>
      <c r="F220" s="878"/>
      <c r="G220" s="878"/>
      <c r="H220" s="878"/>
      <c r="I220" s="878"/>
    </row>
    <row r="221" spans="1:9" x14ac:dyDescent="0.25">
      <c r="A221" s="878"/>
      <c r="B221" s="878"/>
      <c r="C221" s="878"/>
      <c r="D221" s="878"/>
      <c r="E221" s="878"/>
      <c r="F221" s="878"/>
      <c r="G221" s="878"/>
      <c r="H221" s="878"/>
      <c r="I221" s="878"/>
    </row>
    <row r="222" spans="1:9" x14ac:dyDescent="0.25">
      <c r="A222" s="878"/>
      <c r="B222" s="878"/>
      <c r="C222" s="878"/>
      <c r="D222" s="878"/>
      <c r="E222" s="878"/>
      <c r="F222" s="878"/>
      <c r="G222" s="878"/>
      <c r="H222" s="878"/>
      <c r="I222" s="878"/>
    </row>
    <row r="223" spans="1:9" x14ac:dyDescent="0.25">
      <c r="A223" s="878"/>
      <c r="B223" s="878"/>
      <c r="C223" s="878"/>
      <c r="D223" s="878"/>
      <c r="E223" s="878"/>
      <c r="F223" s="878"/>
      <c r="G223" s="878"/>
      <c r="H223" s="878"/>
      <c r="I223" s="878"/>
    </row>
    <row r="224" spans="1:9" x14ac:dyDescent="0.25">
      <c r="A224" s="878"/>
      <c r="B224" s="878"/>
      <c r="C224" s="878"/>
      <c r="D224" s="878"/>
      <c r="E224" s="878"/>
      <c r="F224" s="878"/>
      <c r="G224" s="878"/>
      <c r="H224" s="878"/>
      <c r="I224" s="878"/>
    </row>
    <row r="225" spans="1:9" x14ac:dyDescent="0.25">
      <c r="A225" s="878"/>
      <c r="B225" s="878"/>
      <c r="C225" s="878"/>
      <c r="D225" s="878"/>
      <c r="E225" s="878"/>
      <c r="F225" s="878"/>
      <c r="G225" s="878"/>
      <c r="H225" s="878"/>
      <c r="I225" s="878"/>
    </row>
    <row r="226" spans="1:9" x14ac:dyDescent="0.25">
      <c r="A226" s="878"/>
      <c r="B226" s="878"/>
      <c r="C226" s="878"/>
      <c r="D226" s="878"/>
      <c r="E226" s="878"/>
      <c r="F226" s="878"/>
      <c r="G226" s="878"/>
      <c r="H226" s="878"/>
      <c r="I226" s="878"/>
    </row>
    <row r="227" spans="1:9" x14ac:dyDescent="0.25">
      <c r="A227" s="878"/>
      <c r="B227" s="878"/>
      <c r="C227" s="878"/>
      <c r="D227" s="878"/>
      <c r="E227" s="878"/>
      <c r="F227" s="878"/>
      <c r="G227" s="878"/>
      <c r="H227" s="878"/>
      <c r="I227" s="878"/>
    </row>
    <row r="228" spans="1:9" x14ac:dyDescent="0.25">
      <c r="A228" s="878"/>
      <c r="B228" s="878"/>
      <c r="C228" s="878"/>
      <c r="D228" s="878"/>
      <c r="E228" s="878"/>
      <c r="F228" s="878"/>
      <c r="G228" s="878"/>
      <c r="H228" s="878"/>
      <c r="I228" s="878"/>
    </row>
    <row r="229" spans="1:9" x14ac:dyDescent="0.25">
      <c r="A229" s="878"/>
      <c r="B229" s="878"/>
      <c r="C229" s="878"/>
      <c r="D229" s="878"/>
      <c r="E229" s="878"/>
      <c r="F229" s="878"/>
      <c r="G229" s="878"/>
      <c r="H229" s="878"/>
      <c r="I229" s="878"/>
    </row>
    <row r="230" spans="1:9" x14ac:dyDescent="0.25">
      <c r="A230" s="878"/>
      <c r="B230" s="878"/>
      <c r="C230" s="878"/>
      <c r="D230" s="878"/>
      <c r="E230" s="878"/>
      <c r="F230" s="878"/>
      <c r="G230" s="878"/>
      <c r="H230" s="878"/>
      <c r="I230" s="878"/>
    </row>
    <row r="231" spans="1:9" x14ac:dyDescent="0.25">
      <c r="A231" s="878"/>
      <c r="B231" s="878"/>
      <c r="C231" s="878"/>
      <c r="D231" s="878"/>
      <c r="E231" s="878"/>
      <c r="F231" s="878"/>
      <c r="G231" s="878"/>
      <c r="H231" s="878"/>
      <c r="I231" s="878"/>
    </row>
    <row r="232" spans="1:9" x14ac:dyDescent="0.25">
      <c r="A232" s="878"/>
      <c r="B232" s="878"/>
      <c r="C232" s="878"/>
      <c r="D232" s="878"/>
      <c r="E232" s="878"/>
      <c r="F232" s="878"/>
      <c r="G232" s="878"/>
      <c r="H232" s="878"/>
      <c r="I232" s="878"/>
    </row>
    <row r="233" spans="1:9" x14ac:dyDescent="0.25">
      <c r="A233" s="878"/>
      <c r="B233" s="878"/>
      <c r="C233" s="878"/>
      <c r="D233" s="878"/>
      <c r="E233" s="878"/>
      <c r="F233" s="878"/>
      <c r="G233" s="878"/>
      <c r="H233" s="878"/>
      <c r="I233" s="878"/>
    </row>
    <row r="234" spans="1:9" x14ac:dyDescent="0.25">
      <c r="A234" s="878"/>
      <c r="B234" s="878"/>
      <c r="C234" s="878"/>
      <c r="D234" s="878"/>
      <c r="E234" s="878"/>
      <c r="F234" s="878"/>
      <c r="G234" s="878"/>
      <c r="H234" s="878"/>
      <c r="I234" s="878"/>
    </row>
    <row r="235" spans="1:9" x14ac:dyDescent="0.25">
      <c r="A235" s="878"/>
      <c r="B235" s="878"/>
      <c r="C235" s="878"/>
      <c r="D235" s="878"/>
      <c r="E235" s="878"/>
      <c r="F235" s="878"/>
      <c r="G235" s="878"/>
      <c r="H235" s="878"/>
      <c r="I235" s="878"/>
    </row>
    <row r="236" spans="1:9" x14ac:dyDescent="0.25">
      <c r="A236" s="878"/>
      <c r="B236" s="878"/>
      <c r="C236" s="878"/>
      <c r="D236" s="878"/>
      <c r="E236" s="878"/>
      <c r="F236" s="878"/>
      <c r="G236" s="878"/>
      <c r="H236" s="878"/>
      <c r="I236" s="878"/>
    </row>
    <row r="237" spans="1:9" x14ac:dyDescent="0.25">
      <c r="A237" s="878"/>
      <c r="B237" s="878"/>
      <c r="C237" s="878"/>
      <c r="D237" s="878"/>
      <c r="E237" s="878"/>
      <c r="F237" s="878"/>
      <c r="G237" s="878"/>
      <c r="H237" s="878"/>
      <c r="I237" s="878"/>
    </row>
    <row r="238" spans="1:9" x14ac:dyDescent="0.25">
      <c r="A238" s="878"/>
      <c r="B238" s="878"/>
      <c r="C238" s="878"/>
      <c r="D238" s="878"/>
      <c r="E238" s="878"/>
      <c r="F238" s="878"/>
      <c r="G238" s="878"/>
      <c r="H238" s="878"/>
      <c r="I238" s="878"/>
    </row>
    <row r="239" spans="1:9" x14ac:dyDescent="0.25">
      <c r="A239" s="878"/>
      <c r="B239" s="878"/>
      <c r="C239" s="878"/>
      <c r="D239" s="878"/>
      <c r="E239" s="878"/>
      <c r="F239" s="878"/>
      <c r="G239" s="878"/>
      <c r="H239" s="878"/>
      <c r="I239" s="878"/>
    </row>
    <row r="240" spans="1:9" x14ac:dyDescent="0.25">
      <c r="A240" s="878"/>
      <c r="B240" s="878"/>
      <c r="C240" s="878"/>
      <c r="D240" s="878"/>
      <c r="E240" s="878"/>
      <c r="F240" s="878"/>
      <c r="G240" s="878"/>
      <c r="H240" s="878"/>
      <c r="I240" s="878"/>
    </row>
    <row r="241" spans="1:9" x14ac:dyDescent="0.25">
      <c r="A241" s="878"/>
      <c r="B241" s="878"/>
      <c r="C241" s="878"/>
      <c r="D241" s="878"/>
      <c r="E241" s="878"/>
      <c r="F241" s="878"/>
      <c r="G241" s="878"/>
      <c r="H241" s="878"/>
      <c r="I241" s="878"/>
    </row>
    <row r="242" spans="1:9" x14ac:dyDescent="0.25">
      <c r="A242" s="878"/>
      <c r="B242" s="878"/>
      <c r="C242" s="878"/>
      <c r="D242" s="878"/>
      <c r="E242" s="878"/>
      <c r="F242" s="878"/>
      <c r="G242" s="878"/>
      <c r="H242" s="878"/>
      <c r="I242" s="878"/>
    </row>
    <row r="243" spans="1:9" x14ac:dyDescent="0.25">
      <c r="A243" s="878"/>
      <c r="B243" s="878"/>
      <c r="C243" s="878"/>
      <c r="D243" s="878"/>
      <c r="E243" s="878"/>
      <c r="F243" s="878"/>
      <c r="G243" s="878"/>
      <c r="H243" s="878"/>
      <c r="I243" s="878"/>
    </row>
    <row r="244" spans="1:9" x14ac:dyDescent="0.25">
      <c r="A244" s="878"/>
      <c r="B244" s="878"/>
      <c r="C244" s="878"/>
      <c r="D244" s="878"/>
      <c r="E244" s="878"/>
      <c r="F244" s="878"/>
      <c r="G244" s="878"/>
      <c r="H244" s="878"/>
      <c r="I244" s="878"/>
    </row>
    <row r="245" spans="1:9" x14ac:dyDescent="0.25">
      <c r="A245" s="878"/>
      <c r="B245" s="878"/>
      <c r="C245" s="878"/>
      <c r="D245" s="878"/>
      <c r="E245" s="878"/>
      <c r="F245" s="878"/>
      <c r="G245" s="878"/>
      <c r="H245" s="878"/>
      <c r="I245" s="878"/>
    </row>
    <row r="246" spans="1:9" x14ac:dyDescent="0.25">
      <c r="A246" s="878"/>
      <c r="B246" s="878"/>
      <c r="C246" s="878"/>
      <c r="D246" s="878"/>
      <c r="E246" s="878"/>
      <c r="F246" s="878"/>
      <c r="G246" s="878"/>
      <c r="H246" s="878"/>
      <c r="I246" s="878"/>
    </row>
    <row r="247" spans="1:9" x14ac:dyDescent="0.25">
      <c r="A247" s="878"/>
      <c r="B247" s="878"/>
      <c r="C247" s="878"/>
      <c r="D247" s="878"/>
      <c r="E247" s="878"/>
      <c r="F247" s="878"/>
      <c r="G247" s="878"/>
      <c r="H247" s="878"/>
      <c r="I247" s="878"/>
    </row>
    <row r="248" spans="1:9" x14ac:dyDescent="0.25">
      <c r="A248" s="878"/>
      <c r="B248" s="878"/>
      <c r="C248" s="878"/>
      <c r="D248" s="878"/>
      <c r="E248" s="878"/>
      <c r="F248" s="878"/>
      <c r="G248" s="878"/>
      <c r="H248" s="878"/>
      <c r="I248" s="878"/>
    </row>
    <row r="249" spans="1:9" x14ac:dyDescent="0.25">
      <c r="A249" s="878"/>
      <c r="B249" s="878"/>
      <c r="C249" s="878"/>
      <c r="D249" s="878"/>
      <c r="E249" s="878"/>
      <c r="F249" s="878"/>
      <c r="G249" s="878"/>
      <c r="H249" s="878"/>
      <c r="I249" s="878"/>
    </row>
    <row r="250" spans="1:9" x14ac:dyDescent="0.25">
      <c r="A250" s="878"/>
      <c r="B250" s="878"/>
      <c r="C250" s="878"/>
      <c r="D250" s="878"/>
      <c r="E250" s="878"/>
      <c r="F250" s="878"/>
      <c r="G250" s="878"/>
      <c r="H250" s="878"/>
      <c r="I250" s="878"/>
    </row>
    <row r="251" spans="1:9" x14ac:dyDescent="0.25">
      <c r="A251" s="878"/>
      <c r="B251" s="878"/>
      <c r="C251" s="878"/>
      <c r="D251" s="878"/>
      <c r="E251" s="878"/>
      <c r="F251" s="878"/>
      <c r="G251" s="878"/>
      <c r="H251" s="878"/>
      <c r="I251" s="878"/>
    </row>
    <row r="252" spans="1:9" x14ac:dyDescent="0.25">
      <c r="A252" s="878"/>
      <c r="B252" s="878"/>
      <c r="C252" s="878"/>
      <c r="D252" s="878"/>
      <c r="E252" s="878"/>
      <c r="F252" s="878"/>
      <c r="G252" s="878"/>
      <c r="H252" s="878"/>
      <c r="I252" s="878"/>
    </row>
    <row r="253" spans="1:9" x14ac:dyDescent="0.25">
      <c r="A253" s="878"/>
      <c r="B253" s="878"/>
      <c r="C253" s="878"/>
      <c r="D253" s="878"/>
      <c r="E253" s="878"/>
      <c r="F253" s="878"/>
      <c r="G253" s="878"/>
      <c r="H253" s="878"/>
      <c r="I253" s="878"/>
    </row>
    <row r="254" spans="1:9" x14ac:dyDescent="0.25">
      <c r="A254" s="878"/>
      <c r="B254" s="878"/>
      <c r="C254" s="878"/>
      <c r="D254" s="878"/>
      <c r="E254" s="878"/>
      <c r="F254" s="878"/>
      <c r="G254" s="878"/>
      <c r="H254" s="878"/>
      <c r="I254" s="878"/>
    </row>
    <row r="255" spans="1:9" x14ac:dyDescent="0.25">
      <c r="A255" s="878"/>
      <c r="B255" s="878"/>
      <c r="C255" s="878"/>
      <c r="D255" s="878"/>
      <c r="E255" s="878"/>
      <c r="F255" s="878"/>
      <c r="G255" s="878"/>
      <c r="H255" s="878"/>
      <c r="I255" s="878"/>
    </row>
    <row r="256" spans="1:9" x14ac:dyDescent="0.25">
      <c r="A256" s="878"/>
      <c r="B256" s="878"/>
      <c r="C256" s="878"/>
      <c r="D256" s="878"/>
      <c r="E256" s="878"/>
      <c r="F256" s="878"/>
      <c r="G256" s="878"/>
      <c r="H256" s="878"/>
      <c r="I256" s="878"/>
    </row>
    <row r="257" spans="1:9" x14ac:dyDescent="0.25">
      <c r="A257" s="878"/>
      <c r="B257" s="878"/>
      <c r="C257" s="878"/>
      <c r="D257" s="878"/>
      <c r="E257" s="878"/>
      <c r="F257" s="878"/>
      <c r="G257" s="878"/>
      <c r="H257" s="878"/>
      <c r="I257" s="878"/>
    </row>
    <row r="258" spans="1:9" x14ac:dyDescent="0.25">
      <c r="A258" s="878"/>
      <c r="B258" s="878"/>
      <c r="C258" s="878"/>
      <c r="D258" s="878"/>
      <c r="E258" s="878"/>
      <c r="F258" s="878"/>
      <c r="G258" s="878"/>
      <c r="H258" s="878"/>
      <c r="I258" s="878"/>
    </row>
    <row r="259" spans="1:9" x14ac:dyDescent="0.25">
      <c r="A259" s="878"/>
      <c r="B259" s="878"/>
      <c r="C259" s="878"/>
      <c r="D259" s="878"/>
      <c r="E259" s="878"/>
      <c r="F259" s="878"/>
      <c r="G259" s="878"/>
      <c r="H259" s="878"/>
      <c r="I259" s="878"/>
    </row>
    <row r="260" spans="1:9" x14ac:dyDescent="0.25">
      <c r="A260" s="878"/>
      <c r="B260" s="878"/>
      <c r="C260" s="878"/>
      <c r="D260" s="878"/>
      <c r="E260" s="878"/>
      <c r="F260" s="878"/>
      <c r="G260" s="878"/>
      <c r="H260" s="878"/>
      <c r="I260" s="878"/>
    </row>
    <row r="261" spans="1:9" x14ac:dyDescent="0.25">
      <c r="A261" s="878"/>
      <c r="B261" s="878"/>
      <c r="C261" s="878"/>
      <c r="D261" s="878"/>
      <c r="E261" s="878"/>
      <c r="F261" s="878"/>
      <c r="G261" s="878"/>
      <c r="H261" s="878"/>
      <c r="I261" s="878"/>
    </row>
    <row r="262" spans="1:9" x14ac:dyDescent="0.25">
      <c r="A262" s="878"/>
      <c r="B262" s="878"/>
      <c r="C262" s="878"/>
      <c r="D262" s="878"/>
      <c r="E262" s="878"/>
      <c r="F262" s="878"/>
      <c r="G262" s="878"/>
      <c r="H262" s="878"/>
      <c r="I262" s="878"/>
    </row>
    <row r="263" spans="1:9" x14ac:dyDescent="0.25">
      <c r="A263" s="878"/>
      <c r="B263" s="878"/>
      <c r="C263" s="878"/>
      <c r="D263" s="878"/>
      <c r="E263" s="878"/>
      <c r="F263" s="878"/>
      <c r="G263" s="878"/>
      <c r="H263" s="878"/>
      <c r="I263" s="878"/>
    </row>
    <row r="264" spans="1:9" x14ac:dyDescent="0.25">
      <c r="A264" s="878"/>
      <c r="B264" s="878"/>
      <c r="C264" s="878"/>
      <c r="D264" s="878"/>
      <c r="E264" s="878"/>
      <c r="F264" s="878"/>
      <c r="G264" s="878"/>
      <c r="H264" s="878"/>
      <c r="I264" s="878"/>
    </row>
    <row r="265" spans="1:9" x14ac:dyDescent="0.25">
      <c r="A265" s="878"/>
      <c r="B265" s="878"/>
      <c r="C265" s="878"/>
      <c r="D265" s="878"/>
      <c r="E265" s="878"/>
      <c r="F265" s="878"/>
      <c r="G265" s="878"/>
      <c r="H265" s="878"/>
      <c r="I265" s="878"/>
    </row>
    <row r="266" spans="1:9" x14ac:dyDescent="0.25">
      <c r="A266" s="878"/>
      <c r="B266" s="878"/>
      <c r="C266" s="878"/>
      <c r="D266" s="878"/>
      <c r="E266" s="878"/>
      <c r="F266" s="878"/>
      <c r="G266" s="878"/>
      <c r="H266" s="878"/>
      <c r="I266" s="878"/>
    </row>
    <row r="267" spans="1:9" x14ac:dyDescent="0.25">
      <c r="A267" s="878"/>
      <c r="B267" s="878"/>
      <c r="C267" s="878"/>
      <c r="D267" s="878"/>
      <c r="E267" s="878"/>
      <c r="F267" s="878"/>
      <c r="G267" s="878"/>
      <c r="H267" s="878"/>
      <c r="I267" s="878"/>
    </row>
    <row r="268" spans="1:9" x14ac:dyDescent="0.25">
      <c r="A268" s="878"/>
      <c r="B268" s="878"/>
      <c r="C268" s="878"/>
      <c r="D268" s="878"/>
      <c r="E268" s="878"/>
      <c r="F268" s="878"/>
      <c r="G268" s="878"/>
      <c r="H268" s="878"/>
      <c r="I268" s="878"/>
    </row>
    <row r="269" spans="1:9" x14ac:dyDescent="0.25">
      <c r="A269" s="878"/>
      <c r="B269" s="878"/>
      <c r="C269" s="878"/>
      <c r="D269" s="878"/>
      <c r="E269" s="878"/>
      <c r="F269" s="878"/>
      <c r="G269" s="878"/>
      <c r="H269" s="878"/>
      <c r="I269" s="878"/>
    </row>
    <row r="270" spans="1:9" x14ac:dyDescent="0.25">
      <c r="A270" s="878"/>
      <c r="B270" s="878"/>
      <c r="C270" s="878"/>
      <c r="D270" s="878"/>
      <c r="E270" s="878"/>
      <c r="F270" s="878"/>
      <c r="G270" s="878"/>
      <c r="H270" s="878"/>
      <c r="I270" s="878"/>
    </row>
    <row r="271" spans="1:9" x14ac:dyDescent="0.25">
      <c r="A271" s="878"/>
      <c r="B271" s="878"/>
      <c r="C271" s="878"/>
      <c r="D271" s="878"/>
      <c r="E271" s="878"/>
      <c r="F271" s="878"/>
      <c r="G271" s="878"/>
      <c r="H271" s="878"/>
      <c r="I271" s="878"/>
    </row>
    <row r="272" spans="1:9" x14ac:dyDescent="0.25">
      <c r="A272" s="878"/>
      <c r="B272" s="878"/>
      <c r="C272" s="878"/>
      <c r="D272" s="878"/>
      <c r="E272" s="878"/>
      <c r="F272" s="878"/>
      <c r="G272" s="878"/>
      <c r="H272" s="878"/>
      <c r="I272" s="878"/>
    </row>
    <row r="273" spans="1:9" x14ac:dyDescent="0.25">
      <c r="A273" s="878"/>
      <c r="B273" s="878"/>
      <c r="C273" s="878"/>
      <c r="D273" s="878"/>
      <c r="E273" s="878"/>
      <c r="F273" s="878"/>
      <c r="G273" s="878"/>
      <c r="H273" s="878"/>
      <c r="I273" s="878"/>
    </row>
    <row r="274" spans="1:9" x14ac:dyDescent="0.25">
      <c r="A274" s="878"/>
      <c r="B274" s="878"/>
      <c r="C274" s="878"/>
      <c r="D274" s="878"/>
      <c r="E274" s="878"/>
      <c r="F274" s="878"/>
      <c r="G274" s="878"/>
      <c r="H274" s="878"/>
      <c r="I274" s="878"/>
    </row>
    <row r="275" spans="1:9" x14ac:dyDescent="0.25">
      <c r="A275" s="878"/>
      <c r="B275" s="878"/>
      <c r="C275" s="878"/>
      <c r="D275" s="878"/>
      <c r="E275" s="878"/>
      <c r="F275" s="878"/>
      <c r="G275" s="878"/>
      <c r="H275" s="878"/>
      <c r="I275" s="878"/>
    </row>
    <row r="276" spans="1:9" x14ac:dyDescent="0.25">
      <c r="A276" s="878"/>
      <c r="B276" s="878"/>
      <c r="C276" s="878"/>
      <c r="D276" s="878"/>
      <c r="E276" s="878"/>
      <c r="F276" s="878"/>
      <c r="G276" s="878"/>
      <c r="H276" s="878"/>
      <c r="I276" s="878"/>
    </row>
    <row r="277" spans="1:9" x14ac:dyDescent="0.25">
      <c r="A277" s="878"/>
      <c r="B277" s="878"/>
      <c r="C277" s="878"/>
      <c r="D277" s="878"/>
      <c r="E277" s="878"/>
      <c r="F277" s="878"/>
      <c r="G277" s="878"/>
      <c r="H277" s="878"/>
      <c r="I277" s="878"/>
    </row>
    <row r="278" spans="1:9" x14ac:dyDescent="0.25">
      <c r="A278" s="878"/>
      <c r="B278" s="878"/>
      <c r="C278" s="878"/>
      <c r="D278" s="878"/>
      <c r="E278" s="878"/>
      <c r="F278" s="878"/>
      <c r="G278" s="878"/>
      <c r="H278" s="878"/>
      <c r="I278" s="878"/>
    </row>
    <row r="279" spans="1:9" x14ac:dyDescent="0.25">
      <c r="A279" s="878"/>
      <c r="B279" s="878"/>
      <c r="C279" s="878"/>
      <c r="D279" s="878"/>
      <c r="E279" s="878"/>
      <c r="F279" s="878"/>
      <c r="G279" s="878"/>
      <c r="H279" s="878"/>
      <c r="I279" s="878"/>
    </row>
  </sheetData>
  <hyperlinks>
    <hyperlink ref="B4" location="SU_A0900" display="SU_A0900" xr:uid="{00000000-0004-0000-6700-000000000000}"/>
    <hyperlink ref="F2" location="SU_A0900_BOM" display="Back to BOM" xr:uid="{00000000-0004-0000-67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6" fitToHeight="99" orientation="landscape" r:id="rId1"/>
  <headerFooter>
    <oddFooter>Page &amp;P</oddFooter>
  </headerFooter>
  <drawing r:id="rId2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800-000000000000}">
  <sheetPr>
    <tabColor rgb="FFFFFF66"/>
    <pageSetUpPr fitToPage="1"/>
  </sheetPr>
  <dimension ref="A1:O21"/>
  <sheetViews>
    <sheetView zoomScale="70" zoomScaleNormal="70" zoomScalePageLayoutView="70" workbookViewId="0">
      <selection activeCell="E2" sqref="E2"/>
    </sheetView>
  </sheetViews>
  <sheetFormatPr baseColWidth="10" defaultRowHeight="15" x14ac:dyDescent="0.25"/>
  <cols>
    <col min="2" max="2" width="38.42578125" customWidth="1"/>
    <col min="3" max="3" width="30.7109375" customWidth="1"/>
    <col min="7" max="7" width="35" customWidth="1"/>
    <col min="9" max="9" width="24.42578125" customWidth="1"/>
    <col min="10" max="10" width="10.7109375" customWidth="1"/>
  </cols>
  <sheetData>
    <row r="1" spans="1:15" x14ac:dyDescent="0.25">
      <c r="A1" s="927"/>
      <c r="B1" s="925"/>
      <c r="C1" s="925"/>
      <c r="D1" s="925"/>
      <c r="E1" s="925"/>
      <c r="F1" s="925"/>
      <c r="G1" s="925"/>
      <c r="H1" s="925"/>
      <c r="I1" s="925"/>
      <c r="J1" s="926"/>
      <c r="K1" s="925"/>
      <c r="L1" s="925"/>
      <c r="M1" s="925"/>
      <c r="N1" s="925"/>
      <c r="O1" s="924"/>
    </row>
    <row r="2" spans="1:15" x14ac:dyDescent="0.25">
      <c r="A2" s="923" t="s">
        <v>0</v>
      </c>
      <c r="B2" s="16" t="s">
        <v>37</v>
      </c>
      <c r="C2" s="917"/>
      <c r="D2" s="917"/>
      <c r="E2" s="917"/>
      <c r="F2" s="87" t="s">
        <v>62</v>
      </c>
      <c r="G2" s="917"/>
      <c r="H2" s="917"/>
      <c r="I2" s="917"/>
      <c r="J2" s="898" t="s">
        <v>1</v>
      </c>
      <c r="K2" s="922">
        <v>81</v>
      </c>
      <c r="L2" s="917"/>
      <c r="M2" s="897" t="s">
        <v>16</v>
      </c>
      <c r="N2" s="920">
        <f>N12+I19</f>
        <v>1.5833945082514056</v>
      </c>
      <c r="O2" s="264"/>
    </row>
    <row r="3" spans="1:15" x14ac:dyDescent="0.25">
      <c r="A3" s="919" t="s">
        <v>3</v>
      </c>
      <c r="B3" s="16" t="s">
        <v>63</v>
      </c>
      <c r="C3" s="917"/>
      <c r="D3" s="897" t="s">
        <v>6</v>
      </c>
      <c r="E3" s="87" t="s">
        <v>60</v>
      </c>
      <c r="F3" s="917"/>
      <c r="G3" s="917"/>
      <c r="H3" s="917"/>
      <c r="I3" s="917"/>
      <c r="J3" s="917"/>
      <c r="K3" s="917"/>
      <c r="L3" s="917"/>
      <c r="M3" s="896" t="s">
        <v>4</v>
      </c>
      <c r="N3" s="921">
        <v>2</v>
      </c>
      <c r="O3" s="264"/>
    </row>
    <row r="4" spans="1:15" x14ac:dyDescent="0.25">
      <c r="A4" s="919" t="s">
        <v>5</v>
      </c>
      <c r="B4" s="87" t="str">
        <f>'SU A0900'!B4</f>
        <v xml:space="preserve">Rear Tie rod  </v>
      </c>
      <c r="C4" s="917"/>
      <c r="D4" s="896" t="s">
        <v>8</v>
      </c>
      <c r="E4" s="917"/>
      <c r="F4" s="917"/>
      <c r="G4" s="917"/>
      <c r="H4" s="917"/>
      <c r="I4" s="917"/>
      <c r="J4" s="897" t="s">
        <v>6</v>
      </c>
      <c r="K4" s="917"/>
      <c r="L4" s="917"/>
      <c r="M4" s="917"/>
      <c r="N4" s="917"/>
      <c r="O4" s="264"/>
    </row>
    <row r="5" spans="1:15" x14ac:dyDescent="0.25">
      <c r="A5" s="919" t="s">
        <v>15</v>
      </c>
      <c r="B5" s="736" t="s">
        <v>419</v>
      </c>
      <c r="C5" s="917"/>
      <c r="D5" s="896" t="s">
        <v>12</v>
      </c>
      <c r="E5" s="917"/>
      <c r="F5" s="917"/>
      <c r="G5" s="917"/>
      <c r="H5" s="917"/>
      <c r="I5" s="917"/>
      <c r="J5" s="896" t="s">
        <v>8</v>
      </c>
      <c r="K5" s="917"/>
      <c r="L5" s="917"/>
      <c r="M5" s="897" t="s">
        <v>9</v>
      </c>
      <c r="N5" s="920">
        <f>N3*N2</f>
        <v>3.1667890165028112</v>
      </c>
      <c r="O5" s="264"/>
    </row>
    <row r="6" spans="1:15" x14ac:dyDescent="0.25">
      <c r="A6" s="919" t="s">
        <v>7</v>
      </c>
      <c r="B6" t="s">
        <v>422</v>
      </c>
      <c r="C6" s="917"/>
      <c r="D6" s="917"/>
      <c r="E6" s="917"/>
      <c r="F6" s="917"/>
      <c r="G6" s="917"/>
      <c r="H6" s="917"/>
      <c r="I6" s="917"/>
      <c r="J6" s="896" t="s">
        <v>12</v>
      </c>
      <c r="K6" s="917"/>
      <c r="L6" s="917"/>
      <c r="M6" s="917"/>
      <c r="N6" s="917"/>
      <c r="O6" s="264"/>
    </row>
    <row r="7" spans="1:15" x14ac:dyDescent="0.25">
      <c r="A7" s="919" t="s">
        <v>10</v>
      </c>
      <c r="B7" s="16" t="s">
        <v>11</v>
      </c>
      <c r="C7" s="917"/>
      <c r="D7" s="917"/>
      <c r="E7" s="917"/>
      <c r="F7" s="917"/>
      <c r="G7" s="917"/>
      <c r="H7" s="917"/>
      <c r="I7" s="917"/>
      <c r="J7" s="917"/>
      <c r="K7" s="917"/>
      <c r="L7" s="917"/>
      <c r="M7" s="917"/>
      <c r="N7" s="917"/>
      <c r="O7" s="264"/>
    </row>
    <row r="8" spans="1:15" x14ac:dyDescent="0.25">
      <c r="A8" s="919" t="s">
        <v>13</v>
      </c>
      <c r="B8" s="16"/>
      <c r="C8" s="917"/>
      <c r="D8" s="917"/>
      <c r="E8" s="917"/>
      <c r="F8" s="917"/>
      <c r="G8" s="917"/>
      <c r="H8" s="917"/>
      <c r="I8" s="917"/>
      <c r="J8" s="917"/>
      <c r="K8" s="917"/>
      <c r="L8" s="917"/>
      <c r="M8" s="917"/>
      <c r="N8" s="917"/>
      <c r="O8" s="264"/>
    </row>
    <row r="9" spans="1:15" x14ac:dyDescent="0.25">
      <c r="A9" s="918"/>
      <c r="B9" s="917"/>
      <c r="C9" s="917"/>
      <c r="D9" s="917"/>
      <c r="E9" s="917"/>
      <c r="F9" s="917"/>
      <c r="G9" s="917"/>
      <c r="H9" s="917"/>
      <c r="I9" s="917"/>
      <c r="J9" s="917"/>
      <c r="K9" s="917"/>
      <c r="L9" s="917"/>
      <c r="M9" s="917"/>
      <c r="N9" s="917"/>
      <c r="O9" s="264"/>
    </row>
    <row r="10" spans="1:15" x14ac:dyDescent="0.25">
      <c r="A10" s="913" t="s">
        <v>14</v>
      </c>
      <c r="B10" s="886" t="s">
        <v>19</v>
      </c>
      <c r="C10" s="886" t="s">
        <v>20</v>
      </c>
      <c r="D10" s="886" t="s">
        <v>21</v>
      </c>
      <c r="E10" s="886" t="s">
        <v>22</v>
      </c>
      <c r="F10" s="886" t="s">
        <v>23</v>
      </c>
      <c r="G10" s="886" t="s">
        <v>24</v>
      </c>
      <c r="H10" s="886" t="s">
        <v>25</v>
      </c>
      <c r="I10" s="886" t="s">
        <v>26</v>
      </c>
      <c r="J10" s="886" t="s">
        <v>27</v>
      </c>
      <c r="K10" s="886" t="s">
        <v>28</v>
      </c>
      <c r="L10" s="886" t="s">
        <v>29</v>
      </c>
      <c r="M10" s="886" t="s">
        <v>17</v>
      </c>
      <c r="N10" s="886" t="s">
        <v>18</v>
      </c>
      <c r="O10" s="264"/>
    </row>
    <row r="11" spans="1:15" ht="16.149999999999999" customHeight="1" x14ac:dyDescent="0.25">
      <c r="A11" s="389">
        <v>10</v>
      </c>
      <c r="B11" s="390" t="s">
        <v>200</v>
      </c>
      <c r="C11" s="389" t="s">
        <v>201</v>
      </c>
      <c r="D11" s="391">
        <v>4.2</v>
      </c>
      <c r="E11" s="1169">
        <f>J11*K11*L11</f>
        <v>6.9915359107477468E-2</v>
      </c>
      <c r="F11" s="389" t="s">
        <v>141</v>
      </c>
      <c r="G11" s="389"/>
      <c r="H11" s="393"/>
      <c r="I11" s="394" t="s">
        <v>548</v>
      </c>
      <c r="J11" s="965">
        <f>PI()*(9*10^-3)^2</f>
        <v>2.5446900494077327E-4</v>
      </c>
      <c r="K11" s="873">
        <v>3.5000000000000003E-2</v>
      </c>
      <c r="L11" s="874">
        <v>7850</v>
      </c>
      <c r="M11" s="915">
        <v>1</v>
      </c>
      <c r="N11" s="274">
        <f>D11*E11*M11</f>
        <v>0.29364450825140537</v>
      </c>
      <c r="O11" s="914"/>
    </row>
    <row r="12" spans="1:15" x14ac:dyDescent="0.25">
      <c r="A12" s="905"/>
      <c r="B12" s="904"/>
      <c r="C12" s="904"/>
      <c r="D12" s="904"/>
      <c r="E12" s="904"/>
      <c r="F12" s="904"/>
      <c r="G12" s="904"/>
      <c r="H12" s="904"/>
      <c r="I12" s="904"/>
      <c r="J12" s="904"/>
      <c r="K12" s="904"/>
      <c r="L12" s="904"/>
      <c r="M12" s="881" t="s">
        <v>18</v>
      </c>
      <c r="N12" s="887">
        <f>N11</f>
        <v>0.29364450825140537</v>
      </c>
      <c r="O12" s="264"/>
    </row>
    <row r="13" spans="1:15" x14ac:dyDescent="0.25">
      <c r="A13" s="913" t="s">
        <v>14</v>
      </c>
      <c r="B13" s="886" t="s">
        <v>31</v>
      </c>
      <c r="C13" s="886" t="s">
        <v>20</v>
      </c>
      <c r="D13" s="886" t="s">
        <v>21</v>
      </c>
      <c r="E13" s="886" t="s">
        <v>32</v>
      </c>
      <c r="F13" s="886" t="s">
        <v>17</v>
      </c>
      <c r="G13" s="886" t="s">
        <v>33</v>
      </c>
      <c r="H13" s="886" t="s">
        <v>34</v>
      </c>
      <c r="I13" s="886" t="s">
        <v>18</v>
      </c>
      <c r="J13" s="904"/>
      <c r="K13" s="904"/>
      <c r="L13" s="904"/>
      <c r="M13" s="904"/>
      <c r="N13" s="904"/>
      <c r="O13" s="264"/>
    </row>
    <row r="14" spans="1:15" ht="27.6" customHeight="1" x14ac:dyDescent="0.25">
      <c r="A14" s="909">
        <v>10</v>
      </c>
      <c r="B14" s="276" t="s">
        <v>39</v>
      </c>
      <c r="C14" s="910" t="s">
        <v>414</v>
      </c>
      <c r="D14" s="273">
        <v>1.3</v>
      </c>
      <c r="E14" s="276" t="s">
        <v>32</v>
      </c>
      <c r="F14" s="867">
        <v>1</v>
      </c>
      <c r="G14" s="1174" t="s">
        <v>555</v>
      </c>
      <c r="H14" s="1173">
        <f>1/8</f>
        <v>0.125</v>
      </c>
      <c r="I14" s="218">
        <f>D14*F14*H14</f>
        <v>0.16250000000000001</v>
      </c>
      <c r="J14" s="518"/>
      <c r="K14" s="518"/>
      <c r="L14" s="518"/>
      <c r="M14" s="518"/>
      <c r="N14" s="518"/>
      <c r="O14" s="902"/>
    </row>
    <row r="15" spans="1:15" ht="13.15" customHeight="1" x14ac:dyDescent="0.25">
      <c r="A15" s="909">
        <v>20</v>
      </c>
      <c r="B15" s="276" t="s">
        <v>92</v>
      </c>
      <c r="C15" s="910" t="s">
        <v>413</v>
      </c>
      <c r="D15" s="273">
        <v>0.04</v>
      </c>
      <c r="E15" s="276" t="s">
        <v>93</v>
      </c>
      <c r="F15" s="867">
        <v>5.5</v>
      </c>
      <c r="G15" s="867" t="s">
        <v>339</v>
      </c>
      <c r="H15" s="867">
        <v>3</v>
      </c>
      <c r="I15" s="218">
        <f>D15*F15*H15</f>
        <v>0.66</v>
      </c>
      <c r="J15" s="518"/>
      <c r="K15" s="518"/>
      <c r="L15" s="518"/>
      <c r="M15" s="518"/>
      <c r="N15" s="518"/>
      <c r="O15" s="902"/>
    </row>
    <row r="16" spans="1:15" ht="28.9" customHeight="1" x14ac:dyDescent="0.25">
      <c r="A16" s="912">
        <v>30</v>
      </c>
      <c r="B16" s="869" t="s">
        <v>412</v>
      </c>
      <c r="C16" s="908" t="s">
        <v>411</v>
      </c>
      <c r="D16" s="273">
        <v>0.65</v>
      </c>
      <c r="E16" s="869" t="s">
        <v>32</v>
      </c>
      <c r="F16" s="907">
        <v>1</v>
      </c>
      <c r="G16" s="1174" t="s">
        <v>555</v>
      </c>
      <c r="H16" s="1173">
        <f>1/8</f>
        <v>0.125</v>
      </c>
      <c r="I16" s="218">
        <f>D16*F16*H16</f>
        <v>8.1250000000000003E-2</v>
      </c>
      <c r="J16" s="511"/>
      <c r="K16" s="511"/>
      <c r="L16" s="511"/>
      <c r="M16" s="511"/>
      <c r="N16" s="511"/>
      <c r="O16" s="911"/>
    </row>
    <row r="17" spans="1:15" ht="16.899999999999999" customHeight="1" x14ac:dyDescent="0.25">
      <c r="A17" s="909">
        <v>40</v>
      </c>
      <c r="B17" s="276" t="s">
        <v>92</v>
      </c>
      <c r="C17" s="910" t="s">
        <v>196</v>
      </c>
      <c r="D17" s="273">
        <v>0.04</v>
      </c>
      <c r="E17" s="276" t="s">
        <v>93</v>
      </c>
      <c r="F17" s="867">
        <v>0.3</v>
      </c>
      <c r="G17" s="867" t="s">
        <v>339</v>
      </c>
      <c r="H17" s="867">
        <v>3</v>
      </c>
      <c r="I17" s="218">
        <f>D17*F17*H17</f>
        <v>3.6000000000000004E-2</v>
      </c>
      <c r="J17" s="514"/>
      <c r="K17" s="514"/>
      <c r="L17" s="514"/>
      <c r="M17" s="514"/>
      <c r="N17" s="514"/>
      <c r="O17" s="902"/>
    </row>
    <row r="18" spans="1:15" ht="15" customHeight="1" x14ac:dyDescent="0.25">
      <c r="A18" s="909">
        <v>50</v>
      </c>
      <c r="B18" s="908" t="s">
        <v>410</v>
      </c>
      <c r="C18" s="908" t="s">
        <v>409</v>
      </c>
      <c r="D18" s="273">
        <v>0.35</v>
      </c>
      <c r="E18" s="869" t="s">
        <v>198</v>
      </c>
      <c r="F18" s="907">
        <v>1</v>
      </c>
      <c r="G18" s="727"/>
      <c r="H18" s="867">
        <v>1</v>
      </c>
      <c r="I18" s="218">
        <f>D18*F18*H18</f>
        <v>0.35</v>
      </c>
      <c r="J18" s="516"/>
      <c r="K18" s="516"/>
      <c r="L18" s="516"/>
      <c r="M18" s="516"/>
      <c r="N18" s="516"/>
      <c r="O18" s="906"/>
    </row>
    <row r="19" spans="1:15" x14ac:dyDescent="0.25">
      <c r="A19" s="905"/>
      <c r="B19" s="904"/>
      <c r="C19" s="904"/>
      <c r="D19" s="904"/>
      <c r="E19" s="904"/>
      <c r="F19" s="904"/>
      <c r="G19" s="904"/>
      <c r="H19" s="881" t="s">
        <v>18</v>
      </c>
      <c r="I19" s="880">
        <f>SUM(I14:I18)</f>
        <v>1.2897500000000002</v>
      </c>
      <c r="J19" s="904"/>
      <c r="K19" s="904"/>
      <c r="L19" s="904"/>
      <c r="M19" s="904"/>
      <c r="N19" s="904"/>
      <c r="O19" s="264"/>
    </row>
    <row r="20" spans="1:15" x14ac:dyDescent="0.25">
      <c r="A20" s="903"/>
      <c r="B20" s="514"/>
      <c r="C20" s="514"/>
      <c r="D20" s="514"/>
      <c r="E20" s="514"/>
      <c r="F20" s="514"/>
      <c r="G20" s="514"/>
      <c r="H20" s="514"/>
      <c r="I20" s="516"/>
      <c r="J20" s="514"/>
      <c r="K20" s="514"/>
      <c r="L20" s="514"/>
      <c r="M20" s="514"/>
      <c r="N20" s="514"/>
      <c r="O20" s="902"/>
    </row>
    <row r="21" spans="1:15" ht="15.75" thickBot="1" x14ac:dyDescent="0.3">
      <c r="A21" s="901"/>
      <c r="B21" s="900"/>
      <c r="C21" s="900"/>
      <c r="D21" s="900"/>
      <c r="E21" s="900"/>
      <c r="F21" s="900"/>
      <c r="G21" s="900"/>
      <c r="H21" s="900"/>
      <c r="I21" s="900"/>
      <c r="J21" s="900"/>
      <c r="K21" s="900"/>
      <c r="L21" s="900"/>
      <c r="M21" s="900"/>
      <c r="N21" s="900"/>
      <c r="O21" s="899"/>
    </row>
  </sheetData>
  <hyperlinks>
    <hyperlink ref="E3" location="dSU_09002" display="Drawing" xr:uid="{00000000-0004-0000-6800-000000000000}"/>
    <hyperlink ref="B4" location="SU_A0900" display="SU_A0900" xr:uid="{00000000-0004-0000-6800-000001000000}"/>
    <hyperlink ref="F2" location="SU_A0900_BOM" display="Back to BOM" xr:uid="{00000000-0004-0000-68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6" fitToHeight="99" orientation="landscape" r:id="rId1"/>
  <headerFooter>
    <oddFooter>Page &amp;P</oddFooter>
  </headerFooter>
  <drawing r:id="rId2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9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5" t="s">
        <v>426</v>
      </c>
    </row>
  </sheetData>
  <hyperlinks>
    <hyperlink ref="B1" location="SU_09002" display="SU_09002" xr:uid="{00000000-0004-0000-69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A00-000000000000}">
  <sheetPr>
    <tabColor rgb="FFFFFF66"/>
    <pageSetUpPr fitToPage="1"/>
  </sheetPr>
  <dimension ref="A1:P40"/>
  <sheetViews>
    <sheetView zoomScale="70" zoomScaleNormal="70" zoomScalePageLayoutView="70" workbookViewId="0">
      <selection activeCell="E2" sqref="E2"/>
    </sheetView>
  </sheetViews>
  <sheetFormatPr baseColWidth="10" defaultRowHeight="15" x14ac:dyDescent="0.25"/>
  <cols>
    <col min="1" max="1" width="11.5703125" customWidth="1"/>
    <col min="2" max="2" width="34.85546875" customWidth="1"/>
    <col min="3" max="3" width="17.42578125" customWidth="1"/>
    <col min="5" max="5" width="15.28515625" customWidth="1"/>
    <col min="7" max="7" width="28.85546875" customWidth="1"/>
    <col min="9" max="9" width="27.42578125" customWidth="1"/>
    <col min="12" max="12" width="7.7109375" customWidth="1"/>
    <col min="14" max="14" width="10.5703125" customWidth="1"/>
    <col min="15" max="15" width="6.42578125" customWidth="1"/>
  </cols>
  <sheetData>
    <row r="1" spans="1:16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N12+I17</f>
        <v>0.23905539548753352</v>
      </c>
      <c r="O2" s="62"/>
    </row>
    <row r="3" spans="1:16" x14ac:dyDescent="0.25">
      <c r="A3" s="99" t="s">
        <v>3</v>
      </c>
      <c r="B3" s="16" t="str">
        <f>'SU A0900'!B3</f>
        <v>Suspension &amp; Shocks</v>
      </c>
      <c r="C3" s="56"/>
      <c r="D3" s="99" t="s">
        <v>6</v>
      </c>
      <c r="E3" s="275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6" x14ac:dyDescent="0.25">
      <c r="A4" s="99" t="s">
        <v>5</v>
      </c>
      <c r="B4" s="87" t="str">
        <f>'SU A0900'!B4</f>
        <v xml:space="preserve">Rear Tie rod  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25">
      <c r="A5" s="99" t="s">
        <v>15</v>
      </c>
      <c r="B5" s="28" t="s">
        <v>122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0.47811079097506703</v>
      </c>
      <c r="O5" s="62"/>
    </row>
    <row r="6" spans="1:16" x14ac:dyDescent="0.25">
      <c r="A6" s="99" t="s">
        <v>7</v>
      </c>
      <c r="B6" t="s">
        <v>423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6" x14ac:dyDescent="0.25">
      <c r="A11" s="957">
        <v>10</v>
      </c>
      <c r="B11" s="665" t="s">
        <v>301</v>
      </c>
      <c r="C11" s="20" t="s">
        <v>416</v>
      </c>
      <c r="D11" s="277">
        <v>2.25</v>
      </c>
      <c r="E11" s="956">
        <f>L11*J11*K11</f>
        <v>2.5253378386616194E-2</v>
      </c>
      <c r="F11" s="20" t="s">
        <v>141</v>
      </c>
      <c r="G11" s="20"/>
      <c r="H11" s="278"/>
      <c r="I11" s="955" t="s">
        <v>415</v>
      </c>
      <c r="J11" s="966">
        <f>PI()*16*16/1000000</f>
        <v>8.0424771931898709E-4</v>
      </c>
      <c r="K11" s="966">
        <v>4.0000000000000001E-3</v>
      </c>
      <c r="L11" s="669">
        <v>7850</v>
      </c>
      <c r="M11" s="23">
        <v>1</v>
      </c>
      <c r="N11" s="277">
        <f>IF(J11="",D11*M11,D11*J11*K11*L11*M11)</f>
        <v>5.6820101369886439E-2</v>
      </c>
      <c r="O11" s="66"/>
      <c r="P11" s="22"/>
    </row>
    <row r="12" spans="1:16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5.6820101369886439E-2</v>
      </c>
      <c r="O12" s="62"/>
    </row>
    <row r="13" spans="1:16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25">
      <c r="A14" s="954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6" x14ac:dyDescent="0.25">
      <c r="A15" s="885">
        <v>10</v>
      </c>
      <c r="B15" s="893" t="s">
        <v>344</v>
      </c>
      <c r="C15" s="893"/>
      <c r="D15" s="888">
        <v>1.3</v>
      </c>
      <c r="E15" s="893" t="s">
        <v>35</v>
      </c>
      <c r="F15" s="893">
        <v>1</v>
      </c>
      <c r="G15" s="326" t="s">
        <v>550</v>
      </c>
      <c r="H15" s="1170">
        <v>2.9411764705882353E-2</v>
      </c>
      <c r="I15" s="888">
        <f>D15*F15*H15</f>
        <v>3.8235294117647062E-2</v>
      </c>
      <c r="J15" s="58"/>
      <c r="K15" s="58"/>
      <c r="L15" s="58"/>
      <c r="M15" s="58"/>
      <c r="N15" s="58"/>
      <c r="O15" s="68"/>
      <c r="P15" s="25"/>
    </row>
    <row r="16" spans="1:16" x14ac:dyDescent="0.25">
      <c r="A16" s="885">
        <v>20</v>
      </c>
      <c r="B16" s="893" t="s">
        <v>92</v>
      </c>
      <c r="C16" s="893"/>
      <c r="D16" s="888">
        <v>0.04</v>
      </c>
      <c r="E16" s="893" t="s">
        <v>93</v>
      </c>
      <c r="F16" s="893">
        <v>1.2</v>
      </c>
      <c r="G16" s="893" t="s">
        <v>339</v>
      </c>
      <c r="H16" s="893">
        <v>3</v>
      </c>
      <c r="I16" s="888">
        <f>D16*F16*H16</f>
        <v>0.14400000000000002</v>
      </c>
      <c r="J16" s="56"/>
      <c r="K16" s="56"/>
      <c r="L16" s="56"/>
      <c r="M16" s="56"/>
      <c r="N16" s="56"/>
      <c r="O16" s="62"/>
    </row>
    <row r="17" spans="1:16" x14ac:dyDescent="0.25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0.18223529411764708</v>
      </c>
      <c r="J17" s="24"/>
      <c r="K17" s="24"/>
      <c r="L17" s="24"/>
      <c r="M17" s="24"/>
      <c r="N17" s="24"/>
      <c r="O17" s="62"/>
    </row>
    <row r="18" spans="1:16" ht="15.75" thickBot="1" x14ac:dyDescent="0.3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  <row r="22" spans="1:16" x14ac:dyDescent="0.25">
      <c r="A22" s="929"/>
      <c r="B22" s="929"/>
      <c r="C22" s="929"/>
      <c r="D22" s="929"/>
      <c r="E22" s="929"/>
      <c r="F22" s="929"/>
      <c r="G22" s="929"/>
      <c r="H22" s="929"/>
      <c r="I22" s="929"/>
      <c r="J22" s="929"/>
      <c r="K22" s="929"/>
      <c r="L22" s="929"/>
      <c r="M22" s="929"/>
      <c r="N22" s="929"/>
      <c r="O22" s="929"/>
      <c r="P22" s="929"/>
    </row>
    <row r="23" spans="1:16" x14ac:dyDescent="0.25">
      <c r="A23" s="929"/>
      <c r="B23" s="934"/>
      <c r="C23" s="930"/>
      <c r="D23" s="930"/>
      <c r="E23" s="930"/>
      <c r="F23" s="930"/>
      <c r="G23" s="950"/>
      <c r="H23" s="930"/>
      <c r="I23" s="930"/>
      <c r="J23" s="930"/>
      <c r="K23" s="953"/>
      <c r="L23" s="933"/>
      <c r="M23" s="930"/>
      <c r="N23" s="934"/>
      <c r="O23" s="941"/>
      <c r="P23" s="929"/>
    </row>
    <row r="24" spans="1:16" x14ac:dyDescent="0.25">
      <c r="A24" s="929"/>
      <c r="B24" s="934"/>
      <c r="C24" s="930"/>
      <c r="D24" s="952"/>
      <c r="E24" s="950"/>
      <c r="F24" s="930"/>
      <c r="G24" s="930"/>
      <c r="H24" s="930"/>
      <c r="I24" s="930"/>
      <c r="J24" s="930"/>
      <c r="K24" s="930"/>
      <c r="L24" s="930"/>
      <c r="M24" s="930"/>
      <c r="N24" s="934"/>
      <c r="O24" s="951"/>
      <c r="P24" s="929"/>
    </row>
    <row r="25" spans="1:16" x14ac:dyDescent="0.25">
      <c r="A25" s="929"/>
      <c r="B25" s="934"/>
      <c r="C25" s="950"/>
      <c r="D25" s="930"/>
      <c r="E25" s="934"/>
      <c r="F25" s="930"/>
      <c r="G25" s="930"/>
      <c r="H25" s="930"/>
      <c r="I25" s="930"/>
      <c r="J25" s="930"/>
      <c r="K25" s="934"/>
      <c r="L25" s="930"/>
      <c r="M25" s="930"/>
      <c r="N25" s="930"/>
      <c r="O25" s="931"/>
      <c r="P25" s="929"/>
    </row>
    <row r="26" spans="1:16" x14ac:dyDescent="0.25">
      <c r="A26" s="929"/>
      <c r="B26" s="934"/>
      <c r="C26" s="949"/>
      <c r="D26" s="930"/>
      <c r="E26" s="934"/>
      <c r="F26" s="930"/>
      <c r="G26" s="930"/>
      <c r="H26" s="930"/>
      <c r="I26" s="930"/>
      <c r="J26" s="930"/>
      <c r="K26" s="934"/>
      <c r="L26" s="930"/>
      <c r="M26" s="930"/>
      <c r="N26" s="934"/>
      <c r="O26" s="941"/>
      <c r="P26" s="929"/>
    </row>
    <row r="27" spans="1:16" x14ac:dyDescent="0.25">
      <c r="A27" s="929"/>
      <c r="B27" s="934"/>
      <c r="C27" s="948"/>
      <c r="D27" s="930"/>
      <c r="E27" s="930"/>
      <c r="F27" s="930"/>
      <c r="G27" s="930"/>
      <c r="H27" s="930"/>
      <c r="I27" s="930"/>
      <c r="J27" s="930"/>
      <c r="K27" s="934"/>
      <c r="L27" s="930"/>
      <c r="M27" s="930"/>
      <c r="N27" s="930"/>
      <c r="O27" s="930"/>
      <c r="P27" s="929"/>
    </row>
    <row r="28" spans="1:16" x14ac:dyDescent="0.25">
      <c r="A28" s="929"/>
      <c r="B28" s="934"/>
      <c r="C28" s="930"/>
      <c r="D28" s="930"/>
      <c r="E28" s="930"/>
      <c r="F28" s="930"/>
      <c r="G28" s="930"/>
      <c r="H28" s="930"/>
      <c r="I28" s="930"/>
      <c r="J28" s="930"/>
      <c r="K28" s="930"/>
      <c r="L28" s="930"/>
      <c r="M28" s="930"/>
      <c r="N28" s="930"/>
      <c r="O28" s="930"/>
      <c r="P28" s="929"/>
    </row>
    <row r="29" spans="1:16" x14ac:dyDescent="0.25">
      <c r="A29" s="929"/>
      <c r="B29" s="934"/>
      <c r="C29" s="931"/>
      <c r="D29" s="931"/>
      <c r="E29" s="931"/>
      <c r="F29" s="931"/>
      <c r="G29" s="931"/>
      <c r="H29" s="931"/>
      <c r="I29" s="931"/>
      <c r="J29" s="931"/>
      <c r="K29" s="931"/>
      <c r="L29" s="931"/>
      <c r="M29" s="931"/>
      <c r="N29" s="931"/>
      <c r="O29" s="931"/>
      <c r="P29" s="929"/>
    </row>
    <row r="30" spans="1:16" x14ac:dyDescent="0.25">
      <c r="A30" s="929"/>
      <c r="B30" s="929"/>
      <c r="C30" s="929"/>
      <c r="D30" s="929"/>
      <c r="E30" s="929"/>
      <c r="F30" s="929"/>
      <c r="G30" s="929"/>
      <c r="H30" s="929"/>
      <c r="I30" s="929"/>
      <c r="J30" s="929"/>
      <c r="K30" s="929"/>
      <c r="L30" s="929"/>
      <c r="M30" s="929"/>
      <c r="N30" s="929"/>
      <c r="O30" s="929"/>
      <c r="P30" s="929"/>
    </row>
    <row r="31" spans="1:16" x14ac:dyDescent="0.25">
      <c r="A31" s="929"/>
      <c r="B31" s="934"/>
      <c r="C31" s="934"/>
      <c r="D31" s="934"/>
      <c r="E31" s="934"/>
      <c r="F31" s="934"/>
      <c r="G31" s="934"/>
      <c r="H31" s="934"/>
      <c r="I31" s="934"/>
      <c r="J31" s="934"/>
      <c r="K31" s="934"/>
      <c r="L31" s="934"/>
      <c r="M31" s="934"/>
      <c r="N31" s="934"/>
      <c r="O31" s="934"/>
      <c r="P31" s="929"/>
    </row>
    <row r="32" spans="1:16" x14ac:dyDescent="0.25">
      <c r="A32" s="929"/>
      <c r="B32" s="930"/>
      <c r="C32" s="930"/>
      <c r="D32" s="930"/>
      <c r="E32" s="937"/>
      <c r="F32" s="947"/>
      <c r="G32" s="930"/>
      <c r="H32" s="930"/>
      <c r="I32" s="946"/>
      <c r="J32" s="945"/>
      <c r="K32" s="944"/>
      <c r="L32" s="943"/>
      <c r="M32" s="942"/>
      <c r="N32" s="942"/>
      <c r="O32" s="941"/>
      <c r="P32" s="929"/>
    </row>
    <row r="33" spans="1:16" x14ac:dyDescent="0.25">
      <c r="A33" s="929"/>
      <c r="B33" s="934"/>
      <c r="C33" s="934"/>
      <c r="D33" s="934"/>
      <c r="E33" s="934"/>
      <c r="F33" s="934"/>
      <c r="G33" s="934"/>
      <c r="H33" s="934"/>
      <c r="I33" s="934"/>
      <c r="J33" s="934"/>
      <c r="K33" s="934"/>
      <c r="L33" s="934"/>
      <c r="M33" s="934"/>
      <c r="N33" s="936"/>
      <c r="O33" s="935"/>
      <c r="P33" s="929"/>
    </row>
    <row r="34" spans="1:16" x14ac:dyDescent="0.25">
      <c r="A34" s="929"/>
      <c r="B34" s="929"/>
      <c r="C34" s="929"/>
      <c r="D34" s="929"/>
      <c r="E34" s="929"/>
      <c r="F34" s="929"/>
      <c r="G34" s="929"/>
      <c r="H34" s="929"/>
      <c r="I34" s="929"/>
      <c r="J34" s="929"/>
      <c r="K34" s="929"/>
      <c r="L34" s="929"/>
      <c r="M34" s="929"/>
      <c r="N34" s="929"/>
      <c r="O34" s="929"/>
      <c r="P34" s="929"/>
    </row>
    <row r="35" spans="1:16" x14ac:dyDescent="0.25">
      <c r="A35" s="929"/>
      <c r="B35" s="934"/>
      <c r="C35" s="934"/>
      <c r="D35" s="934"/>
      <c r="E35" s="934"/>
      <c r="F35" s="934"/>
      <c r="G35" s="934"/>
      <c r="H35" s="934"/>
      <c r="I35" s="934"/>
      <c r="J35" s="934"/>
      <c r="K35" s="934"/>
      <c r="L35" s="934"/>
      <c r="M35" s="934"/>
      <c r="N35" s="934"/>
      <c r="O35" s="934"/>
      <c r="P35" s="929"/>
    </row>
    <row r="36" spans="1:16" x14ac:dyDescent="0.25">
      <c r="A36" s="929"/>
      <c r="B36" s="930"/>
      <c r="C36" s="664"/>
      <c r="D36" s="940"/>
      <c r="E36" s="937"/>
      <c r="F36" s="930"/>
      <c r="G36" s="930"/>
      <c r="H36" s="938"/>
      <c r="I36" s="939"/>
      <c r="J36" s="937"/>
      <c r="K36" s="931"/>
      <c r="L36" s="931"/>
      <c r="M36" s="931"/>
      <c r="N36" s="931"/>
      <c r="O36" s="931"/>
      <c r="P36" s="929"/>
    </row>
    <row r="37" spans="1:16" x14ac:dyDescent="0.25">
      <c r="A37" s="929"/>
      <c r="B37" s="930"/>
      <c r="C37" s="664"/>
      <c r="D37" s="940"/>
      <c r="E37" s="937"/>
      <c r="F37" s="930"/>
      <c r="G37" s="939"/>
      <c r="H37" s="938"/>
      <c r="I37" s="930"/>
      <c r="J37" s="937"/>
      <c r="K37" s="931"/>
      <c r="L37" s="931"/>
      <c r="M37" s="931"/>
      <c r="N37" s="931"/>
      <c r="O37" s="931"/>
      <c r="P37" s="929"/>
    </row>
    <row r="38" spans="1:16" x14ac:dyDescent="0.25">
      <c r="A38" s="929"/>
      <c r="B38" s="934"/>
      <c r="C38" s="934"/>
      <c r="D38" s="934"/>
      <c r="E38" s="934"/>
      <c r="F38" s="934"/>
      <c r="G38" s="934"/>
      <c r="H38" s="934"/>
      <c r="I38" s="936"/>
      <c r="J38" s="935"/>
      <c r="K38" s="934"/>
      <c r="L38" s="934"/>
      <c r="M38" s="934"/>
      <c r="N38" s="934"/>
      <c r="O38" s="934"/>
      <c r="P38" s="929"/>
    </row>
    <row r="39" spans="1:16" x14ac:dyDescent="0.25">
      <c r="A39" s="929"/>
      <c r="B39" s="931"/>
      <c r="C39" s="931"/>
      <c r="D39" s="931"/>
      <c r="E39" s="931"/>
      <c r="F39" s="931"/>
      <c r="G39" s="931"/>
      <c r="H39" s="931"/>
      <c r="I39" s="933"/>
      <c r="J39" s="932"/>
      <c r="K39" s="931"/>
      <c r="L39" s="930"/>
      <c r="M39" s="930"/>
      <c r="N39" s="930"/>
      <c r="O39" s="930"/>
      <c r="P39" s="929"/>
    </row>
    <row r="40" spans="1:16" x14ac:dyDescent="0.25">
      <c r="B40" s="928"/>
      <c r="C40" s="928"/>
      <c r="D40" s="928"/>
      <c r="E40" s="928"/>
      <c r="F40" s="928"/>
      <c r="G40" s="928"/>
      <c r="H40" s="928"/>
      <c r="I40" s="928"/>
      <c r="J40" s="928"/>
      <c r="K40" s="928"/>
      <c r="L40" s="928"/>
      <c r="M40" s="928"/>
      <c r="N40" s="928"/>
      <c r="O40" s="928"/>
    </row>
  </sheetData>
  <hyperlinks>
    <hyperlink ref="E3" location="dSU_09003" display="Drawing" xr:uid="{00000000-0004-0000-6A00-000000000000}"/>
    <hyperlink ref="B4" location="SU_A0900" display="SU_A0900" xr:uid="{00000000-0004-0000-6A00-000001000000}"/>
    <hyperlink ref="G2" location="SU_A0900_BOM" display="Back to BOM" xr:uid="{00000000-0004-0000-6A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1" fitToHeight="99" orientation="landscape" r:id="rId1"/>
  <headerFooter>
    <oddFooter>Page &amp;P</oddFooter>
  </headerFooter>
  <drawing r:id="rId2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B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5" t="s">
        <v>427</v>
      </c>
    </row>
  </sheetData>
  <hyperlinks>
    <hyperlink ref="B1" location="SU_09003" display="SU_09003" xr:uid="{00000000-0004-0000-6B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C00-000000000000}">
  <sheetPr>
    <tabColor rgb="FFFFFF66"/>
    <pageSetUpPr fitToPage="1"/>
  </sheetPr>
  <dimension ref="A1:O18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17.28515625" customWidth="1"/>
    <col min="3" max="3" width="11.85546875" customWidth="1"/>
    <col min="7" max="7" width="18.7109375" customWidth="1"/>
    <col min="8" max="8" width="9.5703125" customWidth="1"/>
    <col min="9" max="9" width="12.7109375" customWidth="1"/>
    <col min="15" max="15" width="6.8554687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N12+I17</f>
        <v>1.0636402027397729</v>
      </c>
      <c r="O2" s="62"/>
    </row>
    <row r="3" spans="1:15" x14ac:dyDescent="0.25">
      <c r="A3" s="99" t="s">
        <v>3</v>
      </c>
      <c r="B3" s="16" t="str">
        <f>'SU A0900'!B3</f>
        <v>Suspension &amp; Shocks</v>
      </c>
      <c r="C3" s="56"/>
      <c r="D3" s="99" t="s">
        <v>6</v>
      </c>
      <c r="E3" s="275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5" x14ac:dyDescent="0.25">
      <c r="A4" s="99" t="s">
        <v>5</v>
      </c>
      <c r="B4" s="87" t="str">
        <f>'SU A0900'!B4</f>
        <v xml:space="preserve">Rear Tie rod  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25">
      <c r="A5" s="99" t="s">
        <v>15</v>
      </c>
      <c r="B5" s="28" t="s">
        <v>121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2.1272804054795458</v>
      </c>
      <c r="O5" s="62"/>
    </row>
    <row r="6" spans="1:15" x14ac:dyDescent="0.25">
      <c r="A6" s="99" t="s">
        <v>7</v>
      </c>
      <c r="B6" t="s">
        <v>424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ht="29.45" customHeight="1" x14ac:dyDescent="0.25">
      <c r="A11" s="967">
        <v>10</v>
      </c>
      <c r="B11" s="968" t="s">
        <v>301</v>
      </c>
      <c r="C11" s="969" t="s">
        <v>416</v>
      </c>
      <c r="D11" s="32">
        <v>2.25</v>
      </c>
      <c r="E11" s="970">
        <f>L11*J11*K11</f>
        <v>5.0506756773232388E-2</v>
      </c>
      <c r="F11" s="969" t="s">
        <v>141</v>
      </c>
      <c r="G11" s="969"/>
      <c r="H11" s="971"/>
      <c r="I11" s="972" t="s">
        <v>415</v>
      </c>
      <c r="J11" s="966">
        <f>PI()*16*16/1000000</f>
        <v>8.0424771931898709E-4</v>
      </c>
      <c r="K11" s="986">
        <v>8.0000000000000002E-3</v>
      </c>
      <c r="L11" s="981">
        <v>7850</v>
      </c>
      <c r="M11" s="982">
        <v>1</v>
      </c>
      <c r="N11" s="32">
        <f>IF(J11="",D11*M11,D11*J11*K11*L11*M11)</f>
        <v>0.11364020273977288</v>
      </c>
      <c r="O11" s="66"/>
    </row>
    <row r="12" spans="1:15" x14ac:dyDescent="0.25">
      <c r="A12" s="973"/>
      <c r="B12" s="974"/>
      <c r="C12" s="974"/>
      <c r="D12" s="974"/>
      <c r="E12" s="974"/>
      <c r="F12" s="974"/>
      <c r="G12" s="974"/>
      <c r="H12" s="974"/>
      <c r="I12" s="974"/>
      <c r="J12" s="974"/>
      <c r="K12" s="974"/>
      <c r="L12" s="974"/>
      <c r="M12" s="983" t="s">
        <v>18</v>
      </c>
      <c r="N12" s="984">
        <f>SUM(N11:N11)</f>
        <v>0.11364020273977288</v>
      </c>
      <c r="O12" s="62"/>
    </row>
    <row r="13" spans="1:15" x14ac:dyDescent="0.25">
      <c r="A13" s="975"/>
      <c r="B13" s="58"/>
      <c r="C13" s="58"/>
      <c r="D13" s="58"/>
      <c r="E13" s="58"/>
      <c r="F13" s="58"/>
      <c r="G13" s="58"/>
      <c r="H13" s="58"/>
      <c r="I13" s="58"/>
      <c r="J13" s="58"/>
      <c r="K13" s="58"/>
      <c r="L13" s="58"/>
      <c r="M13" s="58"/>
      <c r="N13" s="58"/>
      <c r="O13" s="62"/>
    </row>
    <row r="14" spans="1:15" ht="30" x14ac:dyDescent="0.25">
      <c r="A14" s="976" t="s">
        <v>14</v>
      </c>
      <c r="B14" s="977" t="s">
        <v>31</v>
      </c>
      <c r="C14" s="977" t="s">
        <v>20</v>
      </c>
      <c r="D14" s="977" t="s">
        <v>21</v>
      </c>
      <c r="E14" s="977" t="s">
        <v>32</v>
      </c>
      <c r="F14" s="977" t="s">
        <v>17</v>
      </c>
      <c r="G14" s="977" t="s">
        <v>33</v>
      </c>
      <c r="H14" s="977" t="s">
        <v>34</v>
      </c>
      <c r="I14" s="977" t="s">
        <v>18</v>
      </c>
      <c r="J14" s="974"/>
      <c r="K14" s="974"/>
      <c r="L14" s="974"/>
      <c r="M14" s="974"/>
      <c r="N14" s="974"/>
      <c r="O14" s="62"/>
    </row>
    <row r="15" spans="1:15" ht="45" x14ac:dyDescent="0.25">
      <c r="A15" s="978">
        <v>10</v>
      </c>
      <c r="B15" s="979" t="s">
        <v>344</v>
      </c>
      <c r="C15" s="979"/>
      <c r="D15" s="980">
        <v>1.3</v>
      </c>
      <c r="E15" s="979" t="s">
        <v>35</v>
      </c>
      <c r="F15" s="979">
        <v>1</v>
      </c>
      <c r="G15" s="979" t="s">
        <v>378</v>
      </c>
      <c r="H15" s="979">
        <f>1/2</f>
        <v>0.5</v>
      </c>
      <c r="I15" s="980">
        <f>D15*F15*H15</f>
        <v>0.65</v>
      </c>
      <c r="J15" s="58"/>
      <c r="K15" s="58"/>
      <c r="L15" s="58"/>
      <c r="M15" s="58"/>
      <c r="N15" s="58"/>
      <c r="O15" s="68"/>
    </row>
    <row r="16" spans="1:15" x14ac:dyDescent="0.25">
      <c r="A16" s="978">
        <v>20</v>
      </c>
      <c r="B16" s="979" t="s">
        <v>92</v>
      </c>
      <c r="C16" s="979"/>
      <c r="D16" s="980">
        <v>0.04</v>
      </c>
      <c r="E16" s="979" t="s">
        <v>93</v>
      </c>
      <c r="F16" s="979">
        <v>2.5</v>
      </c>
      <c r="G16" s="979" t="s">
        <v>339</v>
      </c>
      <c r="H16" s="979">
        <v>3</v>
      </c>
      <c r="I16" s="980">
        <f>D16*F16*H16</f>
        <v>0.30000000000000004</v>
      </c>
      <c r="J16" s="58"/>
      <c r="K16" s="58"/>
      <c r="L16" s="58"/>
      <c r="M16" s="58"/>
      <c r="N16" s="58"/>
      <c r="O16" s="62"/>
    </row>
    <row r="17" spans="1:15" x14ac:dyDescent="0.25">
      <c r="A17" s="973"/>
      <c r="B17" s="974"/>
      <c r="C17" s="974"/>
      <c r="D17" s="974"/>
      <c r="E17" s="974"/>
      <c r="F17" s="974"/>
      <c r="G17" s="974"/>
      <c r="H17" s="985" t="s">
        <v>18</v>
      </c>
      <c r="I17" s="984">
        <f>SUM(I15:I16)</f>
        <v>0.95000000000000007</v>
      </c>
      <c r="J17" s="974"/>
      <c r="K17" s="974"/>
      <c r="L17" s="974"/>
      <c r="M17" s="974"/>
      <c r="N17" s="974"/>
      <c r="O17" s="62"/>
    </row>
    <row r="18" spans="1:15" ht="15.75" thickBot="1" x14ac:dyDescent="0.3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9004" display="Drawing" xr:uid="{00000000-0004-0000-6C00-000000000000}"/>
    <hyperlink ref="B4" location="SU_A0900" display="SU_A0900" xr:uid="{00000000-0004-0000-6C00-000001000000}"/>
    <hyperlink ref="G2" location="SU_A0900_BOM" display="Back to BOM" xr:uid="{00000000-0004-0000-6C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7" fitToHeight="99" orientation="landscape" r:id="rId1"/>
  <headerFooter>
    <oddFooter>Page &amp;P</oddFooter>
  </headerFooter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FFFF66"/>
    <pageSetUpPr fitToPage="1"/>
  </sheetPr>
  <dimension ref="A1:O18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18.7109375" customWidth="1"/>
    <col min="3" max="3" width="20" customWidth="1"/>
    <col min="5" max="5" width="9.140625" customWidth="1"/>
    <col min="7" max="7" width="19.7109375" customWidth="1"/>
    <col min="11" max="11" width="8.7109375" customWidth="1"/>
    <col min="14" max="14" width="9.42578125" customWidth="1"/>
  </cols>
  <sheetData>
    <row r="1" spans="1:15" x14ac:dyDescent="0.25">
      <c r="A1" s="335"/>
      <c r="B1" s="336"/>
      <c r="C1" s="336"/>
      <c r="D1" s="336"/>
      <c r="E1" s="336"/>
      <c r="F1" s="336"/>
      <c r="G1" s="336"/>
      <c r="H1" s="336"/>
      <c r="I1" s="336"/>
      <c r="J1" s="336"/>
      <c r="K1" s="336"/>
      <c r="L1" s="336"/>
      <c r="M1" s="336"/>
      <c r="N1" s="336"/>
      <c r="O1" s="337"/>
    </row>
    <row r="2" spans="1:15" x14ac:dyDescent="0.25">
      <c r="A2" s="338" t="s">
        <v>0</v>
      </c>
      <c r="B2" s="339" t="s">
        <v>37</v>
      </c>
      <c r="C2" s="340"/>
      <c r="D2" s="340"/>
      <c r="E2" s="340"/>
      <c r="F2" s="340"/>
      <c r="G2" s="341" t="s">
        <v>62</v>
      </c>
      <c r="H2" s="340"/>
      <c r="I2" s="340"/>
      <c r="J2" s="342" t="s">
        <v>1</v>
      </c>
      <c r="K2" s="343">
        <v>81</v>
      </c>
      <c r="L2" s="340"/>
      <c r="M2" s="338" t="s">
        <v>16</v>
      </c>
      <c r="N2" s="344">
        <f>N12+I17</f>
        <v>0.32421353411764708</v>
      </c>
      <c r="O2" s="345"/>
    </row>
    <row r="3" spans="1:15" x14ac:dyDescent="0.25">
      <c r="A3" s="338" t="s">
        <v>3</v>
      </c>
      <c r="B3" s="339" t="str">
        <f>'SU A0100'!B3</f>
        <v>Suspension &amp; Shocks</v>
      </c>
      <c r="C3" s="340"/>
      <c r="D3" s="338" t="s">
        <v>6</v>
      </c>
      <c r="E3" s="382" t="s">
        <v>60</v>
      </c>
      <c r="F3" s="340"/>
      <c r="G3" s="340"/>
      <c r="H3" s="340"/>
      <c r="I3" s="340"/>
      <c r="J3" s="340"/>
      <c r="K3" s="340"/>
      <c r="L3" s="340"/>
      <c r="M3" s="338" t="s">
        <v>4</v>
      </c>
      <c r="N3" s="347">
        <v>4</v>
      </c>
      <c r="O3" s="345"/>
    </row>
    <row r="4" spans="1:15" x14ac:dyDescent="0.25">
      <c r="A4" s="338" t="s">
        <v>5</v>
      </c>
      <c r="B4" s="341" t="str">
        <f>'SU A0100'!B4</f>
        <v>Upper Front A-arm</v>
      </c>
      <c r="C4" s="340"/>
      <c r="D4" s="338" t="s">
        <v>8</v>
      </c>
      <c r="E4" s="340"/>
      <c r="F4" s="340"/>
      <c r="G4" s="340"/>
      <c r="H4" s="340"/>
      <c r="I4" s="340"/>
      <c r="J4" s="348" t="s">
        <v>6</v>
      </c>
      <c r="K4" s="340"/>
      <c r="L4" s="340"/>
      <c r="M4" s="340"/>
      <c r="N4" s="340"/>
      <c r="O4" s="345"/>
    </row>
    <row r="5" spans="1:15" x14ac:dyDescent="0.25">
      <c r="A5" s="338" t="s">
        <v>15</v>
      </c>
      <c r="B5" s="383" t="s">
        <v>121</v>
      </c>
      <c r="C5" s="340"/>
      <c r="D5" s="338" t="s">
        <v>12</v>
      </c>
      <c r="E5" s="340"/>
      <c r="F5" s="340"/>
      <c r="G5" s="340"/>
      <c r="H5" s="340"/>
      <c r="I5" s="340"/>
      <c r="J5" s="348" t="s">
        <v>8</v>
      </c>
      <c r="K5" s="340"/>
      <c r="L5" s="340"/>
      <c r="M5" s="338" t="s">
        <v>9</v>
      </c>
      <c r="N5" s="344">
        <f>N3*N2</f>
        <v>1.2968541364705883</v>
      </c>
      <c r="O5" s="345"/>
    </row>
    <row r="6" spans="1:15" x14ac:dyDescent="0.25">
      <c r="A6" s="338" t="s">
        <v>7</v>
      </c>
      <c r="B6" s="350" t="s">
        <v>123</v>
      </c>
      <c r="C6" s="340"/>
      <c r="D6" s="340"/>
      <c r="E6" s="340"/>
      <c r="F6" s="340"/>
      <c r="G6" s="340"/>
      <c r="H6" s="340"/>
      <c r="I6" s="340"/>
      <c r="J6" s="348" t="s">
        <v>12</v>
      </c>
      <c r="K6" s="340"/>
      <c r="L6" s="340"/>
      <c r="M6" s="340"/>
      <c r="N6" s="340"/>
      <c r="O6" s="345"/>
    </row>
    <row r="7" spans="1:15" x14ac:dyDescent="0.25">
      <c r="A7" s="338" t="s">
        <v>10</v>
      </c>
      <c r="B7" s="339" t="s">
        <v>11</v>
      </c>
      <c r="C7" s="340"/>
      <c r="D7" s="340"/>
      <c r="E7" s="340"/>
      <c r="F7" s="340"/>
      <c r="G7" s="340"/>
      <c r="H7" s="340"/>
      <c r="I7" s="340"/>
      <c r="J7" s="340"/>
      <c r="K7" s="340"/>
      <c r="L7" s="340"/>
      <c r="M7" s="340"/>
      <c r="N7" s="340"/>
      <c r="O7" s="345"/>
    </row>
    <row r="8" spans="1:15" x14ac:dyDescent="0.25">
      <c r="A8" s="338" t="s">
        <v>13</v>
      </c>
      <c r="B8" s="339"/>
      <c r="C8" s="340"/>
      <c r="D8" s="340"/>
      <c r="E8" s="340"/>
      <c r="F8" s="340"/>
      <c r="G8" s="340"/>
      <c r="H8" s="340"/>
      <c r="I8" s="340"/>
      <c r="J8" s="340"/>
      <c r="K8" s="340"/>
      <c r="L8" s="340"/>
      <c r="M8" s="340"/>
      <c r="N8" s="340"/>
      <c r="O8" s="345"/>
    </row>
    <row r="9" spans="1:15" x14ac:dyDescent="0.25">
      <c r="A9" s="351"/>
      <c r="B9" s="352"/>
      <c r="C9" s="352"/>
      <c r="D9" s="352"/>
      <c r="E9" s="352"/>
      <c r="F9" s="340"/>
      <c r="G9" s="340"/>
      <c r="H9" s="340"/>
      <c r="I9" s="340"/>
      <c r="J9" s="340"/>
      <c r="K9" s="340"/>
      <c r="L9" s="340"/>
      <c r="M9" s="340"/>
      <c r="N9" s="340"/>
      <c r="O9" s="345"/>
    </row>
    <row r="10" spans="1:15" x14ac:dyDescent="0.25">
      <c r="A10" s="353" t="s">
        <v>14</v>
      </c>
      <c r="B10" s="354" t="s">
        <v>19</v>
      </c>
      <c r="C10" s="354" t="s">
        <v>20</v>
      </c>
      <c r="D10" s="354" t="s">
        <v>21</v>
      </c>
      <c r="E10" s="354" t="s">
        <v>22</v>
      </c>
      <c r="F10" s="355" t="s">
        <v>23</v>
      </c>
      <c r="G10" s="355" t="s">
        <v>24</v>
      </c>
      <c r="H10" s="355" t="s">
        <v>25</v>
      </c>
      <c r="I10" s="355" t="s">
        <v>26</v>
      </c>
      <c r="J10" s="355" t="s">
        <v>27</v>
      </c>
      <c r="K10" s="355" t="s">
        <v>28</v>
      </c>
      <c r="L10" s="355" t="s">
        <v>29</v>
      </c>
      <c r="M10" s="355" t="s">
        <v>17</v>
      </c>
      <c r="N10" s="355" t="s">
        <v>18</v>
      </c>
      <c r="O10" s="345"/>
    </row>
    <row r="11" spans="1:15" x14ac:dyDescent="0.25">
      <c r="A11" s="310">
        <v>10</v>
      </c>
      <c r="B11" s="509" t="s">
        <v>204</v>
      </c>
      <c r="C11" s="557"/>
      <c r="D11" s="558">
        <v>2.25</v>
      </c>
      <c r="E11" s="362">
        <f>J11*K11*L11</f>
        <v>6.3101440000000009E-2</v>
      </c>
      <c r="F11" s="360" t="s">
        <v>94</v>
      </c>
      <c r="G11" s="360"/>
      <c r="H11" s="361"/>
      <c r="I11" s="362" t="s">
        <v>97</v>
      </c>
      <c r="J11" s="363">
        <f>3.14*8*8/1000000</f>
        <v>2.0096E-4</v>
      </c>
      <c r="K11" s="387">
        <v>0.04</v>
      </c>
      <c r="L11" s="365">
        <v>7850</v>
      </c>
      <c r="M11" s="366">
        <v>1</v>
      </c>
      <c r="N11" s="367">
        <f>D11*E11*M11</f>
        <v>0.14197824000000003</v>
      </c>
      <c r="O11" s="368"/>
    </row>
    <row r="12" spans="1:15" x14ac:dyDescent="0.25">
      <c r="A12" s="369"/>
      <c r="B12" s="370"/>
      <c r="C12" s="370"/>
      <c r="D12" s="370"/>
      <c r="E12" s="370"/>
      <c r="F12" s="370"/>
      <c r="G12" s="370"/>
      <c r="H12" s="370"/>
      <c r="I12" s="370"/>
      <c r="J12" s="370"/>
      <c r="K12" s="370"/>
      <c r="L12" s="370"/>
      <c r="M12" s="371" t="s">
        <v>18</v>
      </c>
      <c r="N12" s="372">
        <f>SUM(N11:N11)</f>
        <v>0.14197824000000003</v>
      </c>
      <c r="O12" s="345"/>
    </row>
    <row r="13" spans="1:15" x14ac:dyDescent="0.25">
      <c r="A13" s="373"/>
      <c r="B13" s="340"/>
      <c r="C13" s="340"/>
      <c r="D13" s="340"/>
      <c r="E13" s="340"/>
      <c r="F13" s="340"/>
      <c r="G13" s="340"/>
      <c r="H13" s="340"/>
      <c r="I13" s="340"/>
      <c r="J13" s="340"/>
      <c r="K13" s="340"/>
      <c r="L13" s="340"/>
      <c r="M13" s="340"/>
      <c r="N13" s="340"/>
      <c r="O13" s="345"/>
    </row>
    <row r="14" spans="1:15" x14ac:dyDescent="0.25">
      <c r="A14" s="374" t="s">
        <v>14</v>
      </c>
      <c r="B14" s="355" t="s">
        <v>31</v>
      </c>
      <c r="C14" s="355" t="s">
        <v>20</v>
      </c>
      <c r="D14" s="355" t="s">
        <v>21</v>
      </c>
      <c r="E14" s="355" t="s">
        <v>32</v>
      </c>
      <c r="F14" s="355" t="s">
        <v>17</v>
      </c>
      <c r="G14" s="355" t="s">
        <v>33</v>
      </c>
      <c r="H14" s="355" t="s">
        <v>34</v>
      </c>
      <c r="I14" s="355" t="s">
        <v>18</v>
      </c>
      <c r="J14" s="370"/>
      <c r="K14" s="370"/>
      <c r="L14" s="370"/>
      <c r="M14" s="370"/>
      <c r="N14" s="370"/>
      <c r="O14" s="345"/>
    </row>
    <row r="15" spans="1:15" ht="41.45" customHeight="1" x14ac:dyDescent="0.25">
      <c r="A15" s="327">
        <v>10</v>
      </c>
      <c r="B15" s="327" t="s">
        <v>39</v>
      </c>
      <c r="C15" s="327" t="s">
        <v>68</v>
      </c>
      <c r="D15" s="332">
        <v>1.3</v>
      </c>
      <c r="E15" s="327" t="s">
        <v>32</v>
      </c>
      <c r="F15" s="231">
        <v>1</v>
      </c>
      <c r="G15" s="326" t="s">
        <v>551</v>
      </c>
      <c r="H15" s="1170">
        <v>2.9411764705882353E-2</v>
      </c>
      <c r="I15" s="334">
        <f>IF(H15="",D15*F15,D15*F15*H15)</f>
        <v>3.8235294117647062E-2</v>
      </c>
      <c r="J15" s="376"/>
      <c r="K15" s="376"/>
      <c r="L15" s="376"/>
      <c r="M15" s="376"/>
      <c r="N15" s="376"/>
      <c r="O15" s="377"/>
    </row>
    <row r="16" spans="1:15" x14ac:dyDescent="0.25">
      <c r="A16" s="385">
        <v>20</v>
      </c>
      <c r="B16" s="385" t="s">
        <v>92</v>
      </c>
      <c r="C16" s="385" t="s">
        <v>196</v>
      </c>
      <c r="D16" s="386">
        <v>0.04</v>
      </c>
      <c r="E16" s="385" t="s">
        <v>93</v>
      </c>
      <c r="F16" s="385">
        <v>1.2</v>
      </c>
      <c r="G16" s="385" t="s">
        <v>197</v>
      </c>
      <c r="H16" s="385">
        <v>3</v>
      </c>
      <c r="I16" s="334">
        <f>IF(H16="",D16*F16,D16*F16*H16)</f>
        <v>0.14400000000000002</v>
      </c>
      <c r="J16" s="340"/>
      <c r="K16" s="340"/>
      <c r="L16" s="340"/>
      <c r="M16" s="340"/>
      <c r="N16" s="340"/>
      <c r="O16" s="345"/>
    </row>
    <row r="17" spans="1:15" x14ac:dyDescent="0.25">
      <c r="A17" s="369"/>
      <c r="B17" s="370"/>
      <c r="C17" s="370"/>
      <c r="D17" s="370"/>
      <c r="E17" s="370"/>
      <c r="F17" s="370"/>
      <c r="G17" s="370"/>
      <c r="H17" s="378" t="s">
        <v>18</v>
      </c>
      <c r="I17" s="372">
        <f>SUM(I15:I16)</f>
        <v>0.18223529411764708</v>
      </c>
      <c r="J17" s="370"/>
      <c r="K17" s="370"/>
      <c r="L17" s="370"/>
      <c r="M17" s="370"/>
      <c r="N17" s="370"/>
      <c r="O17" s="345"/>
    </row>
    <row r="18" spans="1:15" ht="15.75" thickBot="1" x14ac:dyDescent="0.3">
      <c r="A18" s="379"/>
      <c r="B18" s="380"/>
      <c r="C18" s="380"/>
      <c r="D18" s="380"/>
      <c r="E18" s="380"/>
      <c r="F18" s="380"/>
      <c r="G18" s="380"/>
      <c r="H18" s="380"/>
      <c r="I18" s="380"/>
      <c r="J18" s="380"/>
      <c r="K18" s="380"/>
      <c r="L18" s="380"/>
      <c r="M18" s="380"/>
      <c r="N18" s="380"/>
      <c r="O18" s="381"/>
    </row>
  </sheetData>
  <hyperlinks>
    <hyperlink ref="B4" location="'SU A0100'!A1" display="'SU A0100'!A1" xr:uid="{00000000-0004-0000-0A00-000000000000}"/>
    <hyperlink ref="E3" location="dSU_01006" display="Drawing" xr:uid="{00000000-0004-0000-0A00-000001000000}"/>
    <hyperlink ref="G2" location="SU_A0100_BOM" display="Back to BOM" xr:uid="{00000000-0004-0000-0A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5" fitToHeight="99" orientation="landscape" r:id="rId1"/>
  <headerFooter>
    <oddFooter>Page &amp;P</oddFooter>
  </headerFooter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D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5" t="s">
        <v>428</v>
      </c>
    </row>
  </sheetData>
  <hyperlinks>
    <hyperlink ref="B1" location="SU_09004" display="SU_09004" xr:uid="{00000000-0004-0000-6D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E00-000000000000}">
  <sheetPr>
    <tabColor rgb="FFFFFF00"/>
    <pageSetUpPr fitToPage="1"/>
  </sheetPr>
  <dimension ref="A1:S44"/>
  <sheetViews>
    <sheetView zoomScaleNormal="100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27.5703125" customWidth="1"/>
    <col min="3" max="3" width="68.7109375" customWidth="1"/>
    <col min="15" max="15" width="5.28515625" customWidth="1"/>
  </cols>
  <sheetData>
    <row r="1" spans="1:15" x14ac:dyDescent="0.25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6"/>
      <c r="N1" s="269"/>
      <c r="O1" s="56"/>
    </row>
    <row r="2" spans="1:15" x14ac:dyDescent="0.25">
      <c r="A2" s="1029" t="s">
        <v>0</v>
      </c>
      <c r="B2" s="16" t="s">
        <v>37</v>
      </c>
      <c r="C2" s="56"/>
      <c r="D2" s="56"/>
      <c r="E2" s="87" t="s">
        <v>62</v>
      </c>
      <c r="F2" s="56"/>
      <c r="G2" s="56"/>
      <c r="H2" s="987" t="s">
        <v>1</v>
      </c>
      <c r="I2" s="83">
        <v>81</v>
      </c>
      <c r="J2" s="56"/>
      <c r="K2" s="987" t="s">
        <v>2</v>
      </c>
      <c r="L2" s="92">
        <f>SU_A1000_pa+SU_A1000_p+SU_A1000_f</f>
        <v>151.09031995285827</v>
      </c>
      <c r="M2" s="264"/>
      <c r="O2" s="56"/>
    </row>
    <row r="3" spans="1:15" x14ac:dyDescent="0.25">
      <c r="A3" s="1029" t="s">
        <v>3</v>
      </c>
      <c r="B3" s="16" t="s">
        <v>429</v>
      </c>
      <c r="C3" s="56"/>
      <c r="D3" s="56"/>
      <c r="E3" s="56"/>
      <c r="F3" s="56"/>
      <c r="G3" s="56"/>
      <c r="H3" s="56"/>
      <c r="I3" s="56"/>
      <c r="J3" s="56"/>
      <c r="K3" s="987" t="s">
        <v>4</v>
      </c>
      <c r="L3" s="82">
        <v>2</v>
      </c>
      <c r="M3" s="264"/>
      <c r="O3" s="56"/>
    </row>
    <row r="4" spans="1:15" x14ac:dyDescent="0.25">
      <c r="A4" s="1029" t="s">
        <v>5</v>
      </c>
      <c r="B4" s="57" t="s">
        <v>430</v>
      </c>
      <c r="C4" s="56"/>
      <c r="D4" s="56"/>
      <c r="E4" s="56"/>
      <c r="F4" s="56"/>
      <c r="G4" s="56"/>
      <c r="H4" s="988" t="s">
        <v>6</v>
      </c>
      <c r="I4" s="56"/>
      <c r="J4" s="56"/>
      <c r="K4" s="56"/>
      <c r="L4" s="56"/>
      <c r="M4" s="264"/>
      <c r="O4" s="56"/>
    </row>
    <row r="5" spans="1:15" x14ac:dyDescent="0.25">
      <c r="A5" s="1029" t="s">
        <v>7</v>
      </c>
      <c r="B5" s="18" t="s">
        <v>431</v>
      </c>
      <c r="C5" s="56"/>
      <c r="D5" s="56"/>
      <c r="E5" s="56"/>
      <c r="F5" s="56"/>
      <c r="G5" s="56"/>
      <c r="H5" s="988" t="s">
        <v>8</v>
      </c>
      <c r="I5" s="56"/>
      <c r="J5" s="56"/>
      <c r="K5" s="987" t="s">
        <v>9</v>
      </c>
      <c r="L5" s="74">
        <f>L2*L3</f>
        <v>302.18063990571653</v>
      </c>
      <c r="M5" s="264"/>
      <c r="O5" s="56"/>
    </row>
    <row r="6" spans="1:15" x14ac:dyDescent="0.25">
      <c r="A6" s="1029" t="s">
        <v>10</v>
      </c>
      <c r="B6" s="16" t="s">
        <v>11</v>
      </c>
      <c r="C6" s="56"/>
      <c r="D6" s="56"/>
      <c r="E6" s="56"/>
      <c r="F6" s="56"/>
      <c r="G6" s="56"/>
      <c r="H6" s="988" t="s">
        <v>12</v>
      </c>
      <c r="I6" s="56"/>
      <c r="J6" s="56"/>
      <c r="K6" s="56"/>
      <c r="L6" s="56"/>
      <c r="M6" s="264"/>
      <c r="O6" s="56"/>
    </row>
    <row r="7" spans="1:15" x14ac:dyDescent="0.25">
      <c r="A7" s="1029" t="s">
        <v>13</v>
      </c>
      <c r="B7" s="16" t="s">
        <v>432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264"/>
      <c r="N7" s="56"/>
      <c r="O7" s="56"/>
    </row>
    <row r="8" spans="1:15" x14ac:dyDescent="0.25">
      <c r="A8" s="705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264"/>
      <c r="N8" s="56"/>
      <c r="O8" s="56"/>
    </row>
    <row r="9" spans="1:15" x14ac:dyDescent="0.25">
      <c r="A9" s="1029" t="s">
        <v>14</v>
      </c>
      <c r="B9" s="987" t="s">
        <v>15</v>
      </c>
      <c r="C9" s="987" t="s">
        <v>16</v>
      </c>
      <c r="D9" s="987" t="s">
        <v>17</v>
      </c>
      <c r="E9" s="987" t="s">
        <v>18</v>
      </c>
      <c r="F9" s="56"/>
      <c r="G9" s="56"/>
      <c r="H9" s="56"/>
      <c r="I9" s="56"/>
      <c r="J9" s="56"/>
      <c r="K9" s="56"/>
      <c r="L9" s="56"/>
      <c r="M9" s="264"/>
      <c r="N9" s="56"/>
      <c r="O9" s="56"/>
    </row>
    <row r="10" spans="1:15" x14ac:dyDescent="0.25">
      <c r="A10" s="714">
        <v>10</v>
      </c>
      <c r="B10" s="86" t="str">
        <f>'SU 10001'!B5</f>
        <v>Front Upright</v>
      </c>
      <c r="C10" s="74">
        <f>'SU 10001'!N2</f>
        <v>106.18580800000001</v>
      </c>
      <c r="D10" s="989">
        <f>'SU 10001'!N3</f>
        <v>1</v>
      </c>
      <c r="E10" s="74">
        <f>C10*D10</f>
        <v>106.18580800000001</v>
      </c>
      <c r="F10" s="56"/>
      <c r="G10" s="56"/>
      <c r="H10" s="56"/>
      <c r="I10" s="56"/>
      <c r="J10" s="56"/>
      <c r="K10" s="56"/>
      <c r="L10" s="56"/>
      <c r="M10" s="264"/>
      <c r="N10" s="56"/>
      <c r="O10" s="56"/>
    </row>
    <row r="11" spans="1:15" x14ac:dyDescent="0.25">
      <c r="A11" s="714">
        <v>20</v>
      </c>
      <c r="B11" s="990" t="s">
        <v>433</v>
      </c>
      <c r="C11" s="74">
        <f>'SU 10002'!N2</f>
        <v>2.5052785600000003</v>
      </c>
      <c r="D11" s="989">
        <f>'SU 10002'!N3</f>
        <v>1</v>
      </c>
      <c r="E11" s="74">
        <f>C11*D11</f>
        <v>2.5052785600000003</v>
      </c>
      <c r="F11" s="57"/>
      <c r="G11" s="57"/>
      <c r="H11" s="57"/>
      <c r="I11" s="57"/>
      <c r="J11" s="57"/>
      <c r="K11" s="57"/>
      <c r="L11" s="57"/>
      <c r="M11" s="723"/>
      <c r="N11" s="57"/>
      <c r="O11" s="56"/>
    </row>
    <row r="12" spans="1:15" x14ac:dyDescent="0.25">
      <c r="A12" s="714">
        <v>30</v>
      </c>
      <c r="B12" s="87" t="s">
        <v>434</v>
      </c>
      <c r="C12" s="74">
        <f>'SU 10003'!N2</f>
        <v>18.677843750000001</v>
      </c>
      <c r="D12" s="989">
        <f>'SU 10003'!N3</f>
        <v>1</v>
      </c>
      <c r="E12" s="74">
        <f>C12*D12</f>
        <v>18.677843750000001</v>
      </c>
      <c r="F12" s="57"/>
      <c r="G12" s="57"/>
      <c r="H12" s="57"/>
      <c r="I12" s="57"/>
      <c r="J12" s="57"/>
      <c r="K12" s="57"/>
      <c r="L12" s="57"/>
      <c r="M12" s="723"/>
      <c r="N12" s="57"/>
      <c r="O12" s="1033"/>
    </row>
    <row r="13" spans="1:15" s="17" customFormat="1" x14ac:dyDescent="0.25">
      <c r="A13" s="714">
        <v>40</v>
      </c>
      <c r="B13" s="86" t="s">
        <v>435</v>
      </c>
      <c r="C13" s="74">
        <f>'SU 10004'!N2</f>
        <v>0.83572750000000007</v>
      </c>
      <c r="D13" s="989">
        <f>'SU 10004'!N3</f>
        <v>1</v>
      </c>
      <c r="E13" s="74">
        <f>C13*D13</f>
        <v>0.83572750000000007</v>
      </c>
      <c r="F13" s="57"/>
      <c r="G13" s="57"/>
      <c r="H13" s="57"/>
      <c r="I13" s="57"/>
      <c r="J13" s="57"/>
      <c r="K13" s="57"/>
      <c r="L13" s="57"/>
      <c r="M13" s="723"/>
      <c r="N13" s="57"/>
      <c r="O13" s="1033"/>
    </row>
    <row r="14" spans="1:15" s="17" customFormat="1" x14ac:dyDescent="0.25">
      <c r="A14" s="714">
        <v>50</v>
      </c>
      <c r="B14" s="86" t="s">
        <v>436</v>
      </c>
      <c r="C14" s="74">
        <f>'SU 10005'!N2</f>
        <v>0.42691833333333334</v>
      </c>
      <c r="D14" s="989">
        <f>'SU 10005'!N3</f>
        <v>15</v>
      </c>
      <c r="E14" s="74">
        <f>C14*D14</f>
        <v>6.4037750000000004</v>
      </c>
      <c r="F14" s="57"/>
      <c r="G14" s="57"/>
      <c r="H14" s="57"/>
      <c r="I14" s="57"/>
      <c r="J14" s="57"/>
      <c r="K14" s="57"/>
      <c r="L14" s="57"/>
      <c r="M14" s="723"/>
      <c r="N14" s="57"/>
      <c r="O14" s="57"/>
    </row>
    <row r="15" spans="1:15" x14ac:dyDescent="0.25">
      <c r="A15" s="705"/>
      <c r="B15" s="56"/>
      <c r="C15" s="56"/>
      <c r="D15" s="98" t="s">
        <v>18</v>
      </c>
      <c r="E15" s="991">
        <f>SUM(E10:E14)</f>
        <v>134.60843280999998</v>
      </c>
      <c r="F15" s="57"/>
      <c r="G15" s="57"/>
      <c r="H15" s="57"/>
      <c r="I15" s="57"/>
      <c r="J15" s="57"/>
      <c r="K15" s="57"/>
      <c r="L15" s="57"/>
      <c r="M15" s="723"/>
      <c r="N15" s="57"/>
      <c r="O15" s="56"/>
    </row>
    <row r="16" spans="1:15" x14ac:dyDescent="0.25">
      <c r="A16" s="705"/>
      <c r="B16" s="56"/>
      <c r="C16" s="56"/>
      <c r="D16" s="56"/>
      <c r="E16" s="56"/>
      <c r="F16" s="56"/>
      <c r="G16" s="56"/>
      <c r="H16" s="56"/>
      <c r="I16" s="56"/>
      <c r="J16" s="56"/>
      <c r="K16" s="56"/>
      <c r="L16" s="56"/>
      <c r="M16" s="264"/>
      <c r="N16" s="56"/>
      <c r="O16" s="56"/>
    </row>
    <row r="17" spans="1:19" x14ac:dyDescent="0.25">
      <c r="A17" s="705"/>
      <c r="B17" s="56"/>
      <c r="C17" s="56"/>
      <c r="D17" s="56"/>
      <c r="E17" s="56"/>
      <c r="F17" s="56"/>
      <c r="G17" s="56"/>
      <c r="H17" s="56"/>
      <c r="I17" s="56"/>
      <c r="J17" s="56"/>
      <c r="K17" s="56"/>
      <c r="L17" s="56"/>
      <c r="M17" s="264"/>
      <c r="N17" s="56"/>
      <c r="O17" s="56"/>
    </row>
    <row r="18" spans="1:19" x14ac:dyDescent="0.25">
      <c r="A18" s="1029" t="s">
        <v>14</v>
      </c>
      <c r="B18" s="987" t="s">
        <v>31</v>
      </c>
      <c r="C18" s="987" t="s">
        <v>20</v>
      </c>
      <c r="D18" s="987" t="s">
        <v>21</v>
      </c>
      <c r="E18" s="987" t="s">
        <v>32</v>
      </c>
      <c r="F18" s="987" t="s">
        <v>17</v>
      </c>
      <c r="G18" s="987" t="s">
        <v>33</v>
      </c>
      <c r="H18" s="987" t="s">
        <v>34</v>
      </c>
      <c r="I18" s="987" t="s">
        <v>18</v>
      </c>
      <c r="J18" s="24"/>
      <c r="K18" s="24"/>
      <c r="L18" s="24"/>
      <c r="M18" s="1034"/>
      <c r="N18" s="24"/>
      <c r="O18" s="58"/>
    </row>
    <row r="19" spans="1:19" s="22" customFormat="1" x14ac:dyDescent="0.25">
      <c r="A19" s="1030">
        <v>10</v>
      </c>
      <c r="B19" s="656" t="s">
        <v>437</v>
      </c>
      <c r="C19" s="656" t="s">
        <v>438</v>
      </c>
      <c r="D19" s="993">
        <v>0.56000000000000005</v>
      </c>
      <c r="E19" s="994" t="s">
        <v>35</v>
      </c>
      <c r="F19" s="994">
        <v>1</v>
      </c>
      <c r="G19" s="994"/>
      <c r="H19" s="994">
        <v>1</v>
      </c>
      <c r="I19" s="74">
        <f t="shared" ref="I19:I22" si="0">IF(H19="",D19*F19,D19*F19*H19)</f>
        <v>0.56000000000000005</v>
      </c>
      <c r="J19" s="56"/>
      <c r="K19" s="56"/>
      <c r="L19" s="56"/>
      <c r="M19" s="264"/>
      <c r="N19" s="56"/>
      <c r="O19" s="56"/>
    </row>
    <row r="20" spans="1:19" x14ac:dyDescent="0.25">
      <c r="A20" s="1025">
        <v>20</v>
      </c>
      <c r="B20" s="1006" t="s">
        <v>439</v>
      </c>
      <c r="C20" s="1006" t="s">
        <v>440</v>
      </c>
      <c r="D20" s="1007">
        <v>0.13</v>
      </c>
      <c r="E20" s="1005" t="s">
        <v>35</v>
      </c>
      <c r="F20" s="1005">
        <v>1</v>
      </c>
      <c r="G20" s="1005"/>
      <c r="H20" s="1005">
        <v>1</v>
      </c>
      <c r="I20" s="1008">
        <f t="shared" si="0"/>
        <v>0.13</v>
      </c>
      <c r="J20" s="56"/>
      <c r="K20" s="56"/>
      <c r="L20" s="56"/>
      <c r="M20" s="264"/>
      <c r="N20" s="56"/>
      <c r="O20" s="56"/>
    </row>
    <row r="21" spans="1:19" ht="30" x14ac:dyDescent="0.25">
      <c r="A21" s="1025">
        <v>30</v>
      </c>
      <c r="B21" s="1006" t="s">
        <v>439</v>
      </c>
      <c r="C21" s="1006" t="s">
        <v>441</v>
      </c>
      <c r="D21" s="1007">
        <v>0.13</v>
      </c>
      <c r="E21" s="1005" t="s">
        <v>35</v>
      </c>
      <c r="F21" s="1005">
        <v>1</v>
      </c>
      <c r="G21" s="1005"/>
      <c r="H21" s="1005">
        <v>1</v>
      </c>
      <c r="I21" s="1008">
        <f t="shared" si="0"/>
        <v>0.13</v>
      </c>
      <c r="J21" s="56"/>
      <c r="K21" s="56"/>
      <c r="L21" s="56"/>
      <c r="M21" s="264"/>
      <c r="N21" s="56"/>
      <c r="O21" s="56"/>
    </row>
    <row r="22" spans="1:19" x14ac:dyDescent="0.25">
      <c r="A22" s="1025">
        <v>40</v>
      </c>
      <c r="B22" s="1006" t="s">
        <v>439</v>
      </c>
      <c r="C22" s="1006" t="s">
        <v>442</v>
      </c>
      <c r="D22" s="1007">
        <v>0.13</v>
      </c>
      <c r="E22" s="1005" t="s">
        <v>35</v>
      </c>
      <c r="F22" s="1005">
        <v>1</v>
      </c>
      <c r="G22" s="1005"/>
      <c r="H22" s="1005">
        <v>1</v>
      </c>
      <c r="I22" s="1008">
        <f t="shared" si="0"/>
        <v>0.13</v>
      </c>
      <c r="J22" s="57"/>
      <c r="K22" s="57"/>
      <c r="L22" s="57"/>
      <c r="M22" s="723"/>
      <c r="N22" s="57"/>
      <c r="O22" s="57"/>
    </row>
    <row r="23" spans="1:19" s="25" customFormat="1" ht="14.45" customHeight="1" x14ac:dyDescent="0.25">
      <c r="A23" s="1031">
        <v>50</v>
      </c>
      <c r="B23" s="1006" t="s">
        <v>292</v>
      </c>
      <c r="C23" s="1006" t="s">
        <v>443</v>
      </c>
      <c r="D23" s="1007">
        <v>0.75</v>
      </c>
      <c r="E23" s="1005" t="s">
        <v>35</v>
      </c>
      <c r="F23" s="1005">
        <v>3</v>
      </c>
      <c r="G23" s="1005"/>
      <c r="H23" s="1005">
        <v>1</v>
      </c>
      <c r="I23" s="1008">
        <f>IF(H23="",D23*F23,D23*F23*H23)</f>
        <v>2.25</v>
      </c>
      <c r="J23" s="57"/>
      <c r="K23" s="57"/>
      <c r="L23" s="57"/>
      <c r="M23" s="723"/>
      <c r="N23" s="57"/>
      <c r="O23" s="58"/>
    </row>
    <row r="24" spans="1:19" ht="16.149999999999999" customHeight="1" x14ac:dyDescent="0.25">
      <c r="A24" s="1025">
        <v>60</v>
      </c>
      <c r="B24" s="646" t="s">
        <v>444</v>
      </c>
      <c r="C24" s="1006" t="s">
        <v>443</v>
      </c>
      <c r="D24" s="1012">
        <v>0.25</v>
      </c>
      <c r="E24" s="1009" t="s">
        <v>32</v>
      </c>
      <c r="F24" s="1009">
        <v>3</v>
      </c>
      <c r="G24" s="1005"/>
      <c r="H24" s="1005">
        <v>1</v>
      </c>
      <c r="I24" s="1008">
        <f>IF(H24="",D24*F24,D24*F24*H24)</f>
        <v>0.75</v>
      </c>
      <c r="J24" s="57"/>
      <c r="K24" s="57"/>
      <c r="L24" s="57"/>
      <c r="M24" s="723"/>
      <c r="N24" s="57"/>
      <c r="O24" s="58"/>
    </row>
    <row r="25" spans="1:19" x14ac:dyDescent="0.25">
      <c r="A25" s="1025">
        <v>70</v>
      </c>
      <c r="B25" s="1006" t="s">
        <v>439</v>
      </c>
      <c r="C25" s="1006" t="s">
        <v>445</v>
      </c>
      <c r="D25" s="1007">
        <v>0.13</v>
      </c>
      <c r="E25" s="1005" t="s">
        <v>446</v>
      </c>
      <c r="F25" s="1005">
        <v>1</v>
      </c>
      <c r="G25" s="1005"/>
      <c r="H25" s="1005">
        <v>1</v>
      </c>
      <c r="I25" s="1008">
        <f>IF(H25="",D25*F25,D25*F25*H25)</f>
        <v>0.13</v>
      </c>
      <c r="J25" s="57"/>
      <c r="K25" s="57"/>
      <c r="L25" s="57"/>
      <c r="M25" s="723"/>
      <c r="N25" s="57"/>
      <c r="O25" s="57"/>
    </row>
    <row r="26" spans="1:19" x14ac:dyDescent="0.25">
      <c r="A26" s="1031">
        <v>80</v>
      </c>
      <c r="B26" s="1006" t="s">
        <v>447</v>
      </c>
      <c r="C26" s="1006" t="s">
        <v>448</v>
      </c>
      <c r="D26" s="1010">
        <v>0.63</v>
      </c>
      <c r="E26" s="1005" t="s">
        <v>35</v>
      </c>
      <c r="F26" s="1005">
        <v>1</v>
      </c>
      <c r="G26" s="1005"/>
      <c r="H26" s="1005">
        <v>1</v>
      </c>
      <c r="I26" s="1008">
        <f>IF(H26="",D26*F26,D26*F26*H26)</f>
        <v>0.63</v>
      </c>
      <c r="J26" s="56"/>
      <c r="K26" s="56"/>
      <c r="L26" s="56"/>
      <c r="M26" s="264"/>
      <c r="N26" s="56"/>
      <c r="O26" s="56"/>
    </row>
    <row r="27" spans="1:19" s="17" customFormat="1" x14ac:dyDescent="0.25">
      <c r="A27" s="1025">
        <v>90</v>
      </c>
      <c r="B27" s="1006" t="s">
        <v>292</v>
      </c>
      <c r="C27" s="1006" t="s">
        <v>449</v>
      </c>
      <c r="D27" s="1007">
        <v>0.75</v>
      </c>
      <c r="E27" s="1005" t="s">
        <v>32</v>
      </c>
      <c r="F27" s="1005">
        <v>2</v>
      </c>
      <c r="G27" s="1005"/>
      <c r="H27" s="1005">
        <v>1</v>
      </c>
      <c r="I27" s="1007">
        <f t="shared" ref="I27" si="1">D27*F27*H27</f>
        <v>1.5</v>
      </c>
      <c r="J27" s="632"/>
      <c r="K27" s="632"/>
      <c r="L27" s="632"/>
      <c r="M27" s="1032"/>
      <c r="N27" s="632"/>
      <c r="O27" s="632"/>
      <c r="P27" s="632"/>
      <c r="Q27" s="632"/>
      <c r="R27" s="632"/>
      <c r="S27" s="632"/>
    </row>
    <row r="28" spans="1:19" s="25" customFormat="1" x14ac:dyDescent="0.25">
      <c r="A28" s="1025">
        <v>100</v>
      </c>
      <c r="B28" s="1006" t="s">
        <v>444</v>
      </c>
      <c r="C28" s="1006" t="s">
        <v>449</v>
      </c>
      <c r="D28" s="1007">
        <v>0.25</v>
      </c>
      <c r="E28" s="1005" t="s">
        <v>32</v>
      </c>
      <c r="F28" s="1005">
        <v>2</v>
      </c>
      <c r="G28" s="1005"/>
      <c r="H28" s="1005">
        <v>1</v>
      </c>
      <c r="I28" s="1007">
        <f>D28*F28*H28</f>
        <v>0.5</v>
      </c>
      <c r="J28" s="632"/>
      <c r="K28" s="632"/>
      <c r="L28" s="632"/>
      <c r="M28" s="1032"/>
      <c r="N28" s="632"/>
      <c r="O28" s="632"/>
      <c r="P28" s="632"/>
      <c r="Q28" s="632"/>
      <c r="R28" s="632"/>
      <c r="S28" s="632"/>
    </row>
    <row r="29" spans="1:19" s="17" customFormat="1" ht="45" x14ac:dyDescent="0.25">
      <c r="A29" s="1025">
        <v>110</v>
      </c>
      <c r="B29" s="276" t="s">
        <v>450</v>
      </c>
      <c r="C29" s="1005" t="s">
        <v>451</v>
      </c>
      <c r="D29" s="1011">
        <v>8.75</v>
      </c>
      <c r="E29" s="1005" t="s">
        <v>32</v>
      </c>
      <c r="F29" s="1005">
        <v>1</v>
      </c>
      <c r="G29" s="1005"/>
      <c r="H29" s="1005">
        <v>1</v>
      </c>
      <c r="I29" s="1011">
        <f>D29*F29*H29</f>
        <v>8.75</v>
      </c>
      <c r="J29" s="632"/>
      <c r="K29" s="632"/>
      <c r="L29" s="632"/>
      <c r="M29" s="1032"/>
      <c r="N29" s="632"/>
      <c r="O29" s="632"/>
      <c r="P29" s="632"/>
      <c r="Q29" s="632"/>
      <c r="R29" s="632"/>
      <c r="S29" s="632"/>
    </row>
    <row r="30" spans="1:19" x14ac:dyDescent="0.25">
      <c r="A30" s="719"/>
      <c r="B30" s="24"/>
      <c r="C30" s="24"/>
      <c r="D30" s="24"/>
      <c r="E30" s="24"/>
      <c r="F30" s="24"/>
      <c r="G30" s="24"/>
      <c r="H30" s="98" t="s">
        <v>18</v>
      </c>
      <c r="I30" s="991">
        <f>SUM(I19:I29)</f>
        <v>15.46</v>
      </c>
      <c r="J30" s="56"/>
      <c r="K30" s="56"/>
      <c r="L30" s="56"/>
      <c r="M30" s="264"/>
      <c r="N30" s="56"/>
      <c r="O30" s="56"/>
      <c r="P30" s="17"/>
      <c r="Q30" s="17"/>
      <c r="R30" s="17"/>
      <c r="S30" s="17"/>
    </row>
    <row r="31" spans="1:19" x14ac:dyDescent="0.25">
      <c r="A31" s="705"/>
      <c r="B31" s="56"/>
      <c r="C31" s="56"/>
      <c r="D31" s="56"/>
      <c r="E31" s="56"/>
      <c r="F31" s="56"/>
      <c r="G31" s="56"/>
      <c r="H31" s="56"/>
      <c r="I31" s="56"/>
      <c r="J31" s="56"/>
      <c r="K31" s="56"/>
      <c r="L31" s="56"/>
      <c r="M31" s="264"/>
      <c r="N31" s="56"/>
      <c r="O31" s="56"/>
      <c r="P31" s="25"/>
      <c r="Q31" s="25"/>
      <c r="R31" s="25"/>
      <c r="S31" s="25"/>
    </row>
    <row r="32" spans="1:19" x14ac:dyDescent="0.25">
      <c r="A32" s="1029" t="s">
        <v>14</v>
      </c>
      <c r="B32" s="987" t="s">
        <v>36</v>
      </c>
      <c r="C32" s="987" t="s">
        <v>20</v>
      </c>
      <c r="D32" s="987" t="s">
        <v>21</v>
      </c>
      <c r="E32" s="987" t="s">
        <v>22</v>
      </c>
      <c r="F32" s="987" t="s">
        <v>23</v>
      </c>
      <c r="G32" s="987" t="s">
        <v>24</v>
      </c>
      <c r="H32" s="987" t="s">
        <v>25</v>
      </c>
      <c r="I32" s="987" t="s">
        <v>17</v>
      </c>
      <c r="J32" s="987" t="s">
        <v>18</v>
      </c>
      <c r="K32" s="56"/>
      <c r="L32" s="56"/>
      <c r="M32" s="264"/>
      <c r="N32" s="56"/>
      <c r="O32" s="56"/>
      <c r="P32" s="17"/>
      <c r="Q32" s="17"/>
      <c r="R32" s="17"/>
      <c r="S32" s="17"/>
    </row>
    <row r="33" spans="1:16" x14ac:dyDescent="0.25">
      <c r="A33" s="1025">
        <v>10</v>
      </c>
      <c r="B33" s="766" t="s">
        <v>557</v>
      </c>
      <c r="C33" s="656" t="s">
        <v>558</v>
      </c>
      <c r="D33" s="1175">
        <f>0.8/105154*E33^2*G33*SQRT(G33)+(0.003*EXP(0.319*E33))</f>
        <v>8.9628250610286439E-2</v>
      </c>
      <c r="E33" s="994">
        <v>6</v>
      </c>
      <c r="F33" s="1041" t="s">
        <v>30</v>
      </c>
      <c r="G33" s="994">
        <v>40</v>
      </c>
      <c r="H33" s="656" t="s">
        <v>30</v>
      </c>
      <c r="I33" s="1042">
        <v>3</v>
      </c>
      <c r="J33" s="1007">
        <f>D33*I33</f>
        <v>0.2688847518308593</v>
      </c>
      <c r="K33" s="56"/>
      <c r="L33" s="56"/>
      <c r="M33" s="264"/>
      <c r="N33" s="56"/>
      <c r="O33" s="56"/>
    </row>
    <row r="34" spans="1:16" x14ac:dyDescent="0.25">
      <c r="A34" s="994">
        <v>20</v>
      </c>
      <c r="B34" s="1176" t="s">
        <v>298</v>
      </c>
      <c r="C34" s="656" t="s">
        <v>558</v>
      </c>
      <c r="D34" s="1175">
        <f>(0.009*EXP(0.2*E34))</f>
        <v>2.9881052304628931E-2</v>
      </c>
      <c r="E34" s="994">
        <v>6</v>
      </c>
      <c r="F34" s="1041" t="s">
        <v>30</v>
      </c>
      <c r="G34" s="994"/>
      <c r="H34" s="656"/>
      <c r="I34" s="1042">
        <v>3</v>
      </c>
      <c r="J34" s="272">
        <f t="shared" ref="J34:J35" si="2">D34*I34</f>
        <v>8.9643156913886801E-2</v>
      </c>
      <c r="K34" s="56"/>
      <c r="L34" s="56"/>
      <c r="M34" s="264"/>
      <c r="N34" s="56"/>
      <c r="O34" s="56"/>
    </row>
    <row r="35" spans="1:16" x14ac:dyDescent="0.25">
      <c r="A35" s="994">
        <v>30</v>
      </c>
      <c r="B35" s="1176" t="s">
        <v>297</v>
      </c>
      <c r="C35" s="656" t="s">
        <v>558</v>
      </c>
      <c r="D35" s="1175">
        <f>0.01</f>
        <v>0.01</v>
      </c>
      <c r="E35" s="994"/>
      <c r="F35" s="1041" t="s">
        <v>30</v>
      </c>
      <c r="G35" s="994"/>
      <c r="H35" s="656"/>
      <c r="I35" s="1042">
        <v>6</v>
      </c>
      <c r="J35" s="272">
        <f t="shared" si="2"/>
        <v>0.06</v>
      </c>
      <c r="K35" s="56"/>
      <c r="L35" s="56"/>
      <c r="M35" s="264"/>
      <c r="N35" s="56"/>
      <c r="O35" s="56"/>
    </row>
    <row r="36" spans="1:16" x14ac:dyDescent="0.25">
      <c r="A36" s="1025">
        <v>70</v>
      </c>
      <c r="B36" s="766" t="s">
        <v>557</v>
      </c>
      <c r="C36" s="656" t="s">
        <v>558</v>
      </c>
      <c r="D36" s="1175">
        <f>0.8/105154*E36^2*G36*SQRT(G36)+(0.003*EXP(0.319*E36))</f>
        <v>0.23710232523720945</v>
      </c>
      <c r="E36" s="994">
        <v>8</v>
      </c>
      <c r="F36" s="1041" t="s">
        <v>30</v>
      </c>
      <c r="G36" s="994">
        <v>55</v>
      </c>
      <c r="H36" s="656" t="s">
        <v>30</v>
      </c>
      <c r="I36" s="1042">
        <v>2</v>
      </c>
      <c r="J36" s="1007">
        <f>D36*I36</f>
        <v>0.4742046504744189</v>
      </c>
      <c r="K36" s="56"/>
      <c r="L36" s="56"/>
      <c r="M36" s="264"/>
      <c r="N36" s="56"/>
      <c r="O36" s="56"/>
    </row>
    <row r="37" spans="1:16" x14ac:dyDescent="0.25">
      <c r="A37" s="994">
        <v>80</v>
      </c>
      <c r="B37" s="1176" t="s">
        <v>298</v>
      </c>
      <c r="C37" s="656" t="s">
        <v>558</v>
      </c>
      <c r="D37" s="1175">
        <f>(0.009*EXP(0.2*E37))</f>
        <v>4.4577291819556032E-2</v>
      </c>
      <c r="E37" s="994">
        <v>8</v>
      </c>
      <c r="F37" s="1041" t="s">
        <v>30</v>
      </c>
      <c r="G37" s="994"/>
      <c r="H37" s="656"/>
      <c r="I37" s="1042">
        <v>2</v>
      </c>
      <c r="J37" s="272">
        <f t="shared" ref="J37:J38" si="3">D37*I37</f>
        <v>8.9154583639112064E-2</v>
      </c>
      <c r="K37" s="56"/>
      <c r="L37" s="56"/>
      <c r="M37" s="264"/>
      <c r="O37" s="56"/>
      <c r="P37" s="56"/>
    </row>
    <row r="38" spans="1:16" x14ac:dyDescent="0.25">
      <c r="A38" s="994">
        <v>90</v>
      </c>
      <c r="B38" s="1176" t="s">
        <v>297</v>
      </c>
      <c r="C38" s="656" t="s">
        <v>558</v>
      </c>
      <c r="D38" s="1175">
        <f>0.01</f>
        <v>0.01</v>
      </c>
      <c r="E38" s="994"/>
      <c r="F38" s="1041" t="s">
        <v>30</v>
      </c>
      <c r="G38" s="994"/>
      <c r="H38" s="656"/>
      <c r="I38" s="1042">
        <v>4</v>
      </c>
      <c r="J38" s="272">
        <f t="shared" si="3"/>
        <v>0.04</v>
      </c>
      <c r="K38" s="56"/>
      <c r="L38" s="56"/>
      <c r="M38" s="264"/>
      <c r="O38" s="56"/>
      <c r="P38" s="56"/>
    </row>
    <row r="39" spans="1:16" x14ac:dyDescent="0.25">
      <c r="A39" s="719"/>
      <c r="B39" s="24"/>
      <c r="C39" s="24"/>
      <c r="D39" s="24"/>
      <c r="E39" s="24"/>
      <c r="F39" s="24"/>
      <c r="G39" s="24"/>
      <c r="H39" s="24"/>
      <c r="I39" s="98" t="s">
        <v>18</v>
      </c>
      <c r="J39" s="991">
        <f>SUM(J33:J38)</f>
        <v>1.0218871428582772</v>
      </c>
      <c r="K39" s="56"/>
      <c r="L39" s="56"/>
      <c r="M39" s="264"/>
      <c r="O39" s="56"/>
      <c r="P39" s="56"/>
    </row>
    <row r="40" spans="1:16" x14ac:dyDescent="0.25">
      <c r="A40" s="705"/>
      <c r="B40" s="56"/>
      <c r="C40" s="56"/>
      <c r="D40" s="56"/>
      <c r="E40" s="56"/>
      <c r="F40" s="56"/>
      <c r="G40" s="56"/>
      <c r="H40" s="56"/>
      <c r="I40" s="56"/>
      <c r="J40" s="24"/>
      <c r="K40" s="56"/>
      <c r="L40" s="56"/>
      <c r="M40" s="264"/>
    </row>
    <row r="41" spans="1:16" ht="15.75" thickBot="1" x14ac:dyDescent="0.3">
      <c r="A41" s="284"/>
      <c r="B41" s="285"/>
      <c r="C41" s="285"/>
      <c r="D41" s="285"/>
      <c r="E41" s="285"/>
      <c r="F41" s="285"/>
      <c r="G41" s="285"/>
      <c r="H41" s="285"/>
      <c r="I41" s="285"/>
      <c r="J41" s="285"/>
      <c r="K41" s="285"/>
      <c r="L41" s="285"/>
      <c r="M41" s="286"/>
    </row>
    <row r="42" spans="1:16" x14ac:dyDescent="0.25">
      <c r="A42" s="56"/>
      <c r="B42" s="56"/>
      <c r="C42" s="56"/>
      <c r="D42" s="56"/>
      <c r="E42" s="56"/>
      <c r="F42" s="56"/>
      <c r="G42" s="56"/>
      <c r="H42" s="56"/>
      <c r="I42" s="56"/>
      <c r="J42" s="56"/>
      <c r="K42" s="56"/>
      <c r="L42" s="56"/>
      <c r="M42" s="56"/>
    </row>
    <row r="43" spans="1:16" x14ac:dyDescent="0.25">
      <c r="L43" s="56"/>
      <c r="M43" s="56"/>
    </row>
    <row r="44" spans="1:16" x14ac:dyDescent="0.25">
      <c r="L44" s="56"/>
      <c r="M44" s="56"/>
    </row>
  </sheetData>
  <hyperlinks>
    <hyperlink ref="B10" location="'SU 10001'!A1" display="'SU 10001'!A1" xr:uid="{00000000-0004-0000-6E00-000000000000}"/>
    <hyperlink ref="B11" location="'SU 10002'!A1" display="Front Bearing Spacer" xr:uid="{00000000-0004-0000-6E00-000001000000}"/>
    <hyperlink ref="B13" location="'SU 10004'!A1" display="Speed Sensor Spacer" xr:uid="{00000000-0004-0000-6E00-000002000000}"/>
    <hyperlink ref="B14" location="'SU 10005'!A1" display="Camber adjustment shim" xr:uid="{00000000-0004-0000-6E00-000003000000}"/>
    <hyperlink ref="B12" location="'SU 10003'!A1" display="Front Wheel Spacer" xr:uid="{00000000-0004-0000-6E00-000004000000}"/>
    <hyperlink ref="E2" location="SU_A1000_BOM" display="Back to BOM" xr:uid="{00000000-0004-0000-6E00-000005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7" firstPageNumber="0" fitToHeight="99" orientation="landscape" r:id="rId1"/>
  <headerFooter>
    <oddFooter>Page &amp;P</oddFooter>
  </headerFooter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F00-000000000000}">
  <sheetPr>
    <tabColor rgb="FFFFFF66"/>
    <pageSetUpPr fitToPage="1"/>
  </sheetPr>
  <dimension ref="A1:O31"/>
  <sheetViews>
    <sheetView tabSelected="1" topLeftCell="A4" zoomScaleNormal="100" zoomScalePageLayoutView="70" workbookViewId="0">
      <selection activeCell="F17" sqref="F17"/>
    </sheetView>
  </sheetViews>
  <sheetFormatPr baseColWidth="10" defaultColWidth="9.140625" defaultRowHeight="15" x14ac:dyDescent="0.25"/>
  <cols>
    <col min="2" max="2" width="24" customWidth="1"/>
    <col min="3" max="3" width="21.7109375" customWidth="1"/>
    <col min="7" max="7" width="18.7109375" customWidth="1"/>
    <col min="9" max="9" width="15.42578125" customWidth="1"/>
    <col min="14" max="14" width="12.5703125" bestFit="1" customWidth="1"/>
    <col min="15" max="15" width="3.140625" customWidth="1"/>
  </cols>
  <sheetData>
    <row r="1" spans="1:15" x14ac:dyDescent="0.25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25">
      <c r="A2" s="1015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5" t="s">
        <v>16</v>
      </c>
      <c r="N2" s="74">
        <f>N12+I29</f>
        <v>106.18580800000001</v>
      </c>
      <c r="O2" s="264"/>
    </row>
    <row r="3" spans="1:15" x14ac:dyDescent="0.25">
      <c r="A3" s="1015" t="s">
        <v>3</v>
      </c>
      <c r="B3" s="16" t="str">
        <f>'SU A1000'!B3</f>
        <v>Wheels &amp; Tires</v>
      </c>
      <c r="C3" s="56"/>
      <c r="D3" s="995" t="s">
        <v>6</v>
      </c>
      <c r="E3" s="87" t="s">
        <v>60</v>
      </c>
      <c r="F3" s="56"/>
      <c r="G3" s="56"/>
      <c r="H3" s="56"/>
      <c r="I3" s="56"/>
      <c r="J3" s="56"/>
      <c r="K3" s="56"/>
      <c r="L3" s="56"/>
      <c r="M3" s="995" t="s">
        <v>4</v>
      </c>
      <c r="N3" s="82">
        <v>1</v>
      </c>
      <c r="O3" s="264"/>
    </row>
    <row r="4" spans="1:15" x14ac:dyDescent="0.25">
      <c r="A4" s="1015" t="s">
        <v>5</v>
      </c>
      <c r="B4" s="271" t="str">
        <f>'SU A1000'!B4</f>
        <v>Front Uprights</v>
      </c>
      <c r="C4" s="56"/>
      <c r="D4" s="995" t="s">
        <v>8</v>
      </c>
      <c r="E4" s="56"/>
      <c r="F4" s="56"/>
      <c r="G4" s="56"/>
      <c r="H4" s="56"/>
      <c r="I4" s="56"/>
      <c r="J4" s="997" t="s">
        <v>6</v>
      </c>
      <c r="K4" s="56"/>
      <c r="L4" s="56"/>
      <c r="M4" s="56"/>
      <c r="N4" s="56"/>
      <c r="O4" s="264"/>
    </row>
    <row r="5" spans="1:15" x14ac:dyDescent="0.25">
      <c r="A5" s="1015" t="s">
        <v>15</v>
      </c>
      <c r="B5" s="18" t="s">
        <v>452</v>
      </c>
      <c r="C5" s="56"/>
      <c r="D5" s="995" t="s">
        <v>12</v>
      </c>
      <c r="E5" s="56"/>
      <c r="F5" s="56"/>
      <c r="G5" s="56"/>
      <c r="H5" s="56"/>
      <c r="I5" s="56"/>
      <c r="J5" s="997" t="s">
        <v>8</v>
      </c>
      <c r="K5" s="56"/>
      <c r="L5" s="56"/>
      <c r="M5" s="995" t="s">
        <v>9</v>
      </c>
      <c r="N5" s="74">
        <f>N3*N2</f>
        <v>106.18580800000001</v>
      </c>
      <c r="O5" s="264"/>
    </row>
    <row r="6" spans="1:15" x14ac:dyDescent="0.25">
      <c r="A6" s="1015" t="s">
        <v>7</v>
      </c>
      <c r="B6" s="28" t="s">
        <v>453</v>
      </c>
      <c r="C6" s="56"/>
      <c r="D6" s="56"/>
      <c r="E6" s="56"/>
      <c r="F6" s="56"/>
      <c r="G6" s="56"/>
      <c r="H6" s="56"/>
      <c r="I6" s="56"/>
      <c r="J6" s="997" t="s">
        <v>12</v>
      </c>
      <c r="K6" s="56"/>
      <c r="L6" s="56"/>
      <c r="M6" s="56"/>
      <c r="N6" s="56"/>
      <c r="O6" s="264"/>
    </row>
    <row r="7" spans="1:15" x14ac:dyDescent="0.25">
      <c r="A7" s="1015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64"/>
    </row>
    <row r="8" spans="1:15" x14ac:dyDescent="0.25">
      <c r="A8" s="1015" t="s">
        <v>13</v>
      </c>
      <c r="B8" s="16" t="s">
        <v>454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64"/>
    </row>
    <row r="9" spans="1:15" x14ac:dyDescent="0.25">
      <c r="A9" s="1016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64"/>
    </row>
    <row r="10" spans="1:15" x14ac:dyDescent="0.25">
      <c r="A10" s="1017" t="s">
        <v>14</v>
      </c>
      <c r="B10" s="999" t="s">
        <v>19</v>
      </c>
      <c r="C10" s="999" t="s">
        <v>20</v>
      </c>
      <c r="D10" s="999" t="s">
        <v>21</v>
      </c>
      <c r="E10" s="999" t="s">
        <v>22</v>
      </c>
      <c r="F10" s="1000" t="s">
        <v>23</v>
      </c>
      <c r="G10" s="1000" t="s">
        <v>24</v>
      </c>
      <c r="H10" s="1000" t="s">
        <v>25</v>
      </c>
      <c r="I10" s="1000" t="s">
        <v>26</v>
      </c>
      <c r="J10" s="1000" t="s">
        <v>27</v>
      </c>
      <c r="K10" s="1000" t="s">
        <v>28</v>
      </c>
      <c r="L10" s="1000" t="s">
        <v>29</v>
      </c>
      <c r="M10" s="1000" t="s">
        <v>17</v>
      </c>
      <c r="N10" s="1000" t="s">
        <v>18</v>
      </c>
      <c r="O10" s="264"/>
    </row>
    <row r="11" spans="1:15" s="22" customFormat="1" ht="30" x14ac:dyDescent="0.25">
      <c r="A11" s="1021">
        <v>10</v>
      </c>
      <c r="B11" s="968" t="s">
        <v>455</v>
      </c>
      <c r="C11" s="969"/>
      <c r="D11" s="32">
        <v>4.2</v>
      </c>
      <c r="E11" s="1022">
        <f>J11*K11*L11</f>
        <v>6.8342400000000003</v>
      </c>
      <c r="F11" s="969" t="s">
        <v>141</v>
      </c>
      <c r="G11" s="969"/>
      <c r="H11" s="971"/>
      <c r="I11" s="830" t="s">
        <v>561</v>
      </c>
      <c r="J11" s="986">
        <f>(180*280*10^-6)</f>
        <v>5.04E-2</v>
      </c>
      <c r="K11" s="986">
        <v>0.05</v>
      </c>
      <c r="L11" s="981">
        <v>2712</v>
      </c>
      <c r="M11" s="982">
        <v>1</v>
      </c>
      <c r="N11" s="32">
        <f>D11*E11</f>
        <v>28.703808000000002</v>
      </c>
      <c r="O11" s="718"/>
    </row>
    <row r="12" spans="1:15" x14ac:dyDescent="0.25">
      <c r="A12" s="719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03">
        <f>N11*M11</f>
        <v>28.703808000000002</v>
      </c>
      <c r="O12" s="264"/>
    </row>
    <row r="13" spans="1:15" x14ac:dyDescent="0.25">
      <c r="A13" s="705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64"/>
    </row>
    <row r="14" spans="1:15" x14ac:dyDescent="0.25">
      <c r="A14" s="1019" t="s">
        <v>14</v>
      </c>
      <c r="B14" s="1000" t="s">
        <v>31</v>
      </c>
      <c r="C14" s="1000" t="s">
        <v>20</v>
      </c>
      <c r="D14" s="1000" t="s">
        <v>21</v>
      </c>
      <c r="E14" s="1000" t="s">
        <v>32</v>
      </c>
      <c r="F14" s="1000" t="s">
        <v>17</v>
      </c>
      <c r="G14" s="1000" t="s">
        <v>33</v>
      </c>
      <c r="H14" s="1000" t="s">
        <v>34</v>
      </c>
      <c r="I14" s="1000" t="s">
        <v>18</v>
      </c>
      <c r="J14" s="24"/>
      <c r="K14" s="24"/>
      <c r="L14" s="24"/>
      <c r="M14" s="24"/>
      <c r="N14" s="24"/>
      <c r="O14" s="264"/>
    </row>
    <row r="15" spans="1:15" s="25" customFormat="1" ht="30" x14ac:dyDescent="0.25">
      <c r="A15" s="1025">
        <v>10</v>
      </c>
      <c r="B15" s="1006" t="s">
        <v>457</v>
      </c>
      <c r="C15" s="1006" t="s">
        <v>458</v>
      </c>
      <c r="D15" s="1026">
        <v>1.3</v>
      </c>
      <c r="E15" s="1005" t="s">
        <v>32</v>
      </c>
      <c r="F15" s="1005">
        <v>1</v>
      </c>
      <c r="G15" s="1005"/>
      <c r="H15" s="1005">
        <v>1</v>
      </c>
      <c r="I15" s="32">
        <f t="shared" ref="I15:I28" si="0">IF(H15="",D15*F15,D15*F15*H15)</f>
        <v>1.3</v>
      </c>
      <c r="J15" s="58"/>
      <c r="K15" s="58"/>
      <c r="L15" s="58"/>
      <c r="M15" s="58"/>
      <c r="N15" s="58"/>
      <c r="O15" s="720"/>
    </row>
    <row r="16" spans="1:15" ht="30" x14ac:dyDescent="0.25">
      <c r="A16" s="1025">
        <v>20</v>
      </c>
      <c r="B16" s="1006" t="s">
        <v>92</v>
      </c>
      <c r="C16" s="1006" t="s">
        <v>459</v>
      </c>
      <c r="D16" s="1026">
        <v>0.04</v>
      </c>
      <c r="E16" s="1005" t="s">
        <v>93</v>
      </c>
      <c r="F16" s="1005">
        <v>1362</v>
      </c>
      <c r="G16" s="1005" t="s">
        <v>193</v>
      </c>
      <c r="H16" s="1005">
        <v>1</v>
      </c>
      <c r="I16" s="32">
        <f t="shared" si="0"/>
        <v>54.480000000000004</v>
      </c>
      <c r="J16" s="56"/>
      <c r="K16" s="56"/>
      <c r="L16" s="56"/>
      <c r="M16" s="56"/>
      <c r="N16" s="56"/>
      <c r="O16" s="264"/>
    </row>
    <row r="17" spans="1:15" s="17" customFormat="1" ht="30" x14ac:dyDescent="0.25">
      <c r="A17" s="1025">
        <v>30</v>
      </c>
      <c r="B17" s="1006" t="s">
        <v>91</v>
      </c>
      <c r="C17" s="1006" t="s">
        <v>460</v>
      </c>
      <c r="D17" s="1026">
        <v>0.65</v>
      </c>
      <c r="E17" s="1005" t="s">
        <v>32</v>
      </c>
      <c r="F17" s="1005">
        <v>1</v>
      </c>
      <c r="G17" s="1005"/>
      <c r="H17" s="1005">
        <v>1</v>
      </c>
      <c r="I17" s="32">
        <f t="shared" si="0"/>
        <v>0.65</v>
      </c>
      <c r="J17" s="57"/>
      <c r="K17" s="57"/>
      <c r="L17" s="57"/>
      <c r="M17" s="57"/>
      <c r="N17" s="57"/>
      <c r="O17" s="723"/>
    </row>
    <row r="18" spans="1:15" s="17" customFormat="1" ht="30" x14ac:dyDescent="0.25">
      <c r="A18" s="1025">
        <v>40</v>
      </c>
      <c r="B18" s="1006" t="s">
        <v>92</v>
      </c>
      <c r="C18" s="1006" t="s">
        <v>461</v>
      </c>
      <c r="D18" s="1026">
        <v>0.04</v>
      </c>
      <c r="E18" s="1005" t="s">
        <v>93</v>
      </c>
      <c r="F18" s="1005">
        <v>352.2</v>
      </c>
      <c r="G18" s="1005" t="s">
        <v>193</v>
      </c>
      <c r="H18" s="1005">
        <v>1</v>
      </c>
      <c r="I18" s="32">
        <f t="shared" si="0"/>
        <v>14.087999999999999</v>
      </c>
      <c r="J18" s="57"/>
      <c r="K18" s="57"/>
      <c r="L18" s="57"/>
      <c r="M18" s="57"/>
      <c r="N18" s="57"/>
      <c r="O18" s="723"/>
    </row>
    <row r="19" spans="1:15" s="17" customFormat="1" x14ac:dyDescent="0.25">
      <c r="A19" s="1025">
        <v>50</v>
      </c>
      <c r="B19" s="1006" t="s">
        <v>91</v>
      </c>
      <c r="C19" s="1006"/>
      <c r="D19" s="1026">
        <v>0.65</v>
      </c>
      <c r="E19" s="1005" t="s">
        <v>32</v>
      </c>
      <c r="F19" s="1005">
        <v>1</v>
      </c>
      <c r="G19" s="1005"/>
      <c r="H19" s="1005">
        <v>1</v>
      </c>
      <c r="I19" s="32">
        <f t="shared" si="0"/>
        <v>0.65</v>
      </c>
      <c r="J19" s="57"/>
      <c r="K19" s="57"/>
      <c r="L19" s="57"/>
      <c r="M19" s="57"/>
      <c r="N19" s="57"/>
      <c r="O19" s="723"/>
    </row>
    <row r="20" spans="1:15" s="17" customFormat="1" ht="45" x14ac:dyDescent="0.25">
      <c r="A20" s="1025">
        <v>60</v>
      </c>
      <c r="B20" s="1006" t="s">
        <v>92</v>
      </c>
      <c r="C20" s="1006" t="s">
        <v>462</v>
      </c>
      <c r="D20" s="1026">
        <v>0.04</v>
      </c>
      <c r="E20" s="1005" t="s">
        <v>93</v>
      </c>
      <c r="F20" s="1005">
        <v>72.2</v>
      </c>
      <c r="G20" s="1005" t="s">
        <v>193</v>
      </c>
      <c r="H20" s="1005">
        <v>1</v>
      </c>
      <c r="I20" s="32">
        <f t="shared" si="0"/>
        <v>2.8880000000000003</v>
      </c>
      <c r="J20" s="57"/>
      <c r="K20" s="57"/>
      <c r="L20" s="57"/>
      <c r="M20" s="57"/>
      <c r="N20" s="57"/>
      <c r="O20" s="723"/>
    </row>
    <row r="21" spans="1:15" s="17" customFormat="1" x14ac:dyDescent="0.25">
      <c r="A21" s="1025">
        <v>70</v>
      </c>
      <c r="B21" s="1006" t="s">
        <v>91</v>
      </c>
      <c r="C21" s="1006"/>
      <c r="D21" s="1026">
        <v>0.65</v>
      </c>
      <c r="E21" s="1005" t="s">
        <v>32</v>
      </c>
      <c r="F21" s="1005">
        <v>1</v>
      </c>
      <c r="G21" s="1005"/>
      <c r="H21" s="1005">
        <v>1</v>
      </c>
      <c r="I21" s="32">
        <f t="shared" si="0"/>
        <v>0.65</v>
      </c>
      <c r="J21" s="57"/>
      <c r="K21" s="57"/>
      <c r="L21" s="57"/>
      <c r="M21" s="57"/>
      <c r="N21" s="57"/>
      <c r="O21" s="723"/>
    </row>
    <row r="22" spans="1:15" ht="30" x14ac:dyDescent="0.25">
      <c r="A22" s="1025">
        <v>80</v>
      </c>
      <c r="B22" s="1006" t="s">
        <v>92</v>
      </c>
      <c r="C22" s="1006" t="s">
        <v>463</v>
      </c>
      <c r="D22" s="1026">
        <v>0.04</v>
      </c>
      <c r="E22" s="1005" t="s">
        <v>93</v>
      </c>
      <c r="F22" s="1005">
        <v>1.1000000000000001</v>
      </c>
      <c r="G22" s="1005" t="s">
        <v>193</v>
      </c>
      <c r="H22" s="1005">
        <v>1</v>
      </c>
      <c r="I22" s="32">
        <f t="shared" si="0"/>
        <v>4.4000000000000004E-2</v>
      </c>
      <c r="J22" s="56"/>
      <c r="K22" s="56"/>
      <c r="L22" s="56"/>
      <c r="M22" s="56"/>
      <c r="N22" s="56"/>
      <c r="O22" s="264"/>
    </row>
    <row r="23" spans="1:15" x14ac:dyDescent="0.25">
      <c r="A23" s="1025">
        <v>90</v>
      </c>
      <c r="B23" s="1006" t="s">
        <v>91</v>
      </c>
      <c r="C23" s="1006"/>
      <c r="D23" s="1026">
        <v>0.65</v>
      </c>
      <c r="E23" s="1005" t="s">
        <v>32</v>
      </c>
      <c r="F23" s="1005">
        <v>1</v>
      </c>
      <c r="G23" s="1005"/>
      <c r="H23" s="1005">
        <v>1</v>
      </c>
      <c r="I23" s="32">
        <f t="shared" si="0"/>
        <v>0.65</v>
      </c>
      <c r="J23" s="56"/>
      <c r="K23" s="56"/>
      <c r="L23" s="56"/>
      <c r="M23" s="56"/>
      <c r="N23" s="56"/>
      <c r="O23" s="264"/>
    </row>
    <row r="24" spans="1:15" ht="30" x14ac:dyDescent="0.25">
      <c r="A24" s="1025">
        <v>100</v>
      </c>
      <c r="B24" s="1006" t="s">
        <v>92</v>
      </c>
      <c r="C24" s="1006" t="s">
        <v>464</v>
      </c>
      <c r="D24" s="1026">
        <v>0.04</v>
      </c>
      <c r="E24" s="1005" t="s">
        <v>93</v>
      </c>
      <c r="F24" s="1005">
        <v>18.2</v>
      </c>
      <c r="G24" s="1005" t="s">
        <v>193</v>
      </c>
      <c r="H24" s="1005">
        <v>1</v>
      </c>
      <c r="I24" s="32">
        <f t="shared" si="0"/>
        <v>0.72799999999999998</v>
      </c>
      <c r="J24" s="56"/>
      <c r="K24" s="56"/>
      <c r="L24" s="56"/>
      <c r="M24" s="56"/>
      <c r="N24" s="56"/>
      <c r="O24" s="264"/>
    </row>
    <row r="25" spans="1:15" x14ac:dyDescent="0.25">
      <c r="A25" s="1025">
        <v>110</v>
      </c>
      <c r="B25" s="1006" t="s">
        <v>91</v>
      </c>
      <c r="C25" s="1006"/>
      <c r="D25" s="1026">
        <v>0.65</v>
      </c>
      <c r="E25" s="1005" t="s">
        <v>32</v>
      </c>
      <c r="F25" s="1005">
        <v>1</v>
      </c>
      <c r="G25" s="1005"/>
      <c r="H25" s="1005">
        <v>1</v>
      </c>
      <c r="I25" s="32">
        <f t="shared" si="0"/>
        <v>0.65</v>
      </c>
      <c r="J25" s="56"/>
      <c r="K25" s="56"/>
      <c r="L25" s="56"/>
      <c r="M25" s="56"/>
      <c r="N25" s="56"/>
      <c r="O25" s="264"/>
    </row>
    <row r="26" spans="1:15" ht="30" x14ac:dyDescent="0.25">
      <c r="A26" s="1025">
        <v>120</v>
      </c>
      <c r="B26" s="1006" t="s">
        <v>92</v>
      </c>
      <c r="C26" s="1006" t="s">
        <v>465</v>
      </c>
      <c r="D26" s="1026">
        <v>0.04</v>
      </c>
      <c r="E26" s="1005" t="s">
        <v>93</v>
      </c>
      <c r="F26" s="1005">
        <v>17.600000000000001</v>
      </c>
      <c r="G26" s="1005" t="s">
        <v>193</v>
      </c>
      <c r="H26" s="1005">
        <v>1</v>
      </c>
      <c r="I26" s="32">
        <f t="shared" si="0"/>
        <v>0.70400000000000007</v>
      </c>
      <c r="J26" s="56"/>
      <c r="K26" s="56"/>
      <c r="L26" s="56"/>
      <c r="M26" s="56"/>
      <c r="N26" s="56"/>
      <c r="O26" s="264"/>
    </row>
    <row r="27" spans="1:15" x14ac:dyDescent="0.25">
      <c r="A27" s="1025">
        <v>130</v>
      </c>
      <c r="B27" s="1006" t="s">
        <v>91</v>
      </c>
      <c r="C27" s="1006"/>
      <c r="D27" s="1026">
        <v>0.65</v>
      </c>
      <c r="E27" s="1005" t="s">
        <v>32</v>
      </c>
      <c r="F27" s="1005">
        <v>1</v>
      </c>
      <c r="G27" s="1005"/>
      <c r="H27" s="1005">
        <v>1</v>
      </c>
      <c r="I27" s="32">
        <f t="shared" si="0"/>
        <v>0.65</v>
      </c>
      <c r="J27" s="24"/>
      <c r="K27" s="24"/>
      <c r="L27" s="24"/>
      <c r="M27" s="24"/>
      <c r="N27" s="24"/>
      <c r="O27" s="264"/>
    </row>
    <row r="28" spans="1:15" ht="30" x14ac:dyDescent="0.25">
      <c r="A28" s="1025">
        <v>140</v>
      </c>
      <c r="B28" s="1006" t="s">
        <v>92</v>
      </c>
      <c r="C28" s="1006" t="s">
        <v>466</v>
      </c>
      <c r="D28" s="1026">
        <v>0.04</v>
      </c>
      <c r="E28" s="1005" t="s">
        <v>93</v>
      </c>
      <c r="F28" s="1005">
        <v>5.8</v>
      </c>
      <c r="G28" s="1005" t="s">
        <v>193</v>
      </c>
      <c r="H28" s="1005">
        <v>1</v>
      </c>
      <c r="I28" s="32">
        <f t="shared" si="0"/>
        <v>0.23199999999999998</v>
      </c>
      <c r="J28" s="56"/>
      <c r="K28" s="56"/>
      <c r="L28" s="56"/>
      <c r="M28" s="56"/>
      <c r="N28" s="56"/>
      <c r="O28" s="264"/>
    </row>
    <row r="29" spans="1:15" x14ac:dyDescent="0.25">
      <c r="A29" s="719"/>
      <c r="B29" s="24"/>
      <c r="C29" s="24"/>
      <c r="D29" s="24"/>
      <c r="E29" s="24"/>
      <c r="F29" s="24"/>
      <c r="G29" s="24"/>
      <c r="H29" s="108" t="s">
        <v>18</v>
      </c>
      <c r="I29" s="1013">
        <f>SUM(I15:I26)</f>
        <v>77.482000000000014</v>
      </c>
      <c r="J29" s="1014"/>
      <c r="K29" s="56"/>
      <c r="L29" s="56"/>
      <c r="M29" s="56"/>
      <c r="N29" s="56"/>
      <c r="O29" s="264"/>
    </row>
    <row r="30" spans="1:15" x14ac:dyDescent="0.25">
      <c r="A30" s="705"/>
      <c r="B30" s="56"/>
      <c r="C30" s="56"/>
      <c r="D30" s="56"/>
      <c r="E30" s="56"/>
      <c r="F30" s="56"/>
      <c r="G30" s="56"/>
      <c r="H30" s="56"/>
      <c r="I30" s="57"/>
      <c r="J30" s="56"/>
      <c r="K30" s="56"/>
      <c r="L30" s="56"/>
      <c r="M30" s="56"/>
      <c r="N30" s="56"/>
      <c r="O30" s="264"/>
    </row>
    <row r="31" spans="1:15" ht="15.75" thickBot="1" x14ac:dyDescent="0.3">
      <c r="A31" s="284"/>
      <c r="B31" s="285"/>
      <c r="C31" s="285"/>
      <c r="D31" s="285"/>
      <c r="E31" s="285"/>
      <c r="F31" s="285"/>
      <c r="G31" s="285"/>
      <c r="H31" s="285"/>
      <c r="I31" s="285"/>
      <c r="J31" s="285"/>
      <c r="K31" s="285"/>
      <c r="L31" s="285"/>
      <c r="M31" s="285"/>
      <c r="N31" s="285"/>
      <c r="O31" s="286"/>
    </row>
  </sheetData>
  <hyperlinks>
    <hyperlink ref="E3" location="dSU_10001" display="Drawing" xr:uid="{00000000-0004-0000-6F00-000000000000}"/>
    <hyperlink ref="B4" location="SU_A1000" display="SU_A1000" xr:uid="{00000000-0004-0000-6F00-000001000000}"/>
    <hyperlink ref="G2" location="SU_A1000_BOM" display="Back to BOM" xr:uid="{00000000-0004-0000-6F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0" firstPageNumber="0" fitToHeight="99" orientation="landscape" r:id="rId1"/>
  <headerFooter>
    <oddFooter>Page &amp;P</oddFooter>
  </headerFooter>
  <rowBreaks count="2" manualBreakCount="2">
    <brk id="27" max="16383" man="1"/>
    <brk id="61" max="16383" man="1"/>
  </rowBreaks>
  <drawing r:id="rId2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000-000000000000}">
  <sheetPr>
    <tabColor rgb="FFFFFF66"/>
    <pageSetUpPr fitToPage="1"/>
  </sheetPr>
  <dimension ref="A1:B1"/>
  <sheetViews>
    <sheetView zoomScaleNormal="100" zoomScalePageLayoutView="70" workbookViewId="0">
      <selection activeCell="B1" sqref="B1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124</v>
      </c>
      <c r="B1" s="996" t="s">
        <v>492</v>
      </c>
    </row>
  </sheetData>
  <hyperlinks>
    <hyperlink ref="B1" location="SU_10001" display="SU_10001" xr:uid="{00000000-0004-0000-70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100-000000000000}">
  <sheetPr>
    <tabColor rgb="FFFFFF66"/>
    <pageSetUpPr fitToPage="1"/>
  </sheetPr>
  <dimension ref="A1:O21"/>
  <sheetViews>
    <sheetView zoomScale="90" zoomScaleNormal="9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23" customWidth="1"/>
    <col min="3" max="3" width="22.28515625" customWidth="1"/>
    <col min="7" max="7" width="11.7109375" customWidth="1"/>
    <col min="9" max="9" width="17.5703125" customWidth="1"/>
    <col min="14" max="14" width="12.5703125" bestFit="1" customWidth="1"/>
    <col min="15" max="15" width="3.140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95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5" t="s">
        <v>16</v>
      </c>
      <c r="N2" s="74">
        <f>SU_10002_m+SU_10002_p</f>
        <v>2.5052785600000003</v>
      </c>
      <c r="O2" s="62"/>
    </row>
    <row r="3" spans="1:15" x14ac:dyDescent="0.25">
      <c r="A3" s="995" t="s">
        <v>3</v>
      </c>
      <c r="B3" s="16" t="str">
        <f>'SU A1000'!B3</f>
        <v>Wheels &amp; Tires</v>
      </c>
      <c r="C3" s="56"/>
      <c r="D3" s="995" t="s">
        <v>6</v>
      </c>
      <c r="E3" s="275" t="s">
        <v>60</v>
      </c>
      <c r="F3" s="56"/>
      <c r="G3" s="56"/>
      <c r="H3" s="56"/>
      <c r="I3" s="56"/>
      <c r="J3" s="56"/>
      <c r="K3" s="56"/>
      <c r="L3" s="56"/>
      <c r="M3" s="995" t="s">
        <v>4</v>
      </c>
      <c r="N3" s="82">
        <v>1</v>
      </c>
      <c r="O3" s="62"/>
    </row>
    <row r="4" spans="1:15" x14ac:dyDescent="0.25">
      <c r="A4" s="995" t="s">
        <v>5</v>
      </c>
      <c r="B4" s="271" t="str">
        <f>'SU A1000'!B4</f>
        <v>Front Uprights</v>
      </c>
      <c r="C4" s="56"/>
      <c r="D4" s="995" t="s">
        <v>8</v>
      </c>
      <c r="E4" s="56"/>
      <c r="F4" s="56"/>
      <c r="G4" s="56"/>
      <c r="H4" s="56"/>
      <c r="I4" s="56"/>
      <c r="J4" s="997" t="s">
        <v>6</v>
      </c>
      <c r="K4" s="56"/>
      <c r="L4" s="56"/>
      <c r="M4" s="56"/>
      <c r="N4" s="56"/>
      <c r="O4" s="62"/>
    </row>
    <row r="5" spans="1:15" x14ac:dyDescent="0.25">
      <c r="A5" s="995" t="s">
        <v>15</v>
      </c>
      <c r="B5" s="18" t="s">
        <v>433</v>
      </c>
      <c r="C5" s="56"/>
      <c r="D5" s="995" t="s">
        <v>12</v>
      </c>
      <c r="E5" s="56"/>
      <c r="F5" s="56"/>
      <c r="G5" s="56"/>
      <c r="H5" s="56"/>
      <c r="I5" s="56"/>
      <c r="J5" s="997" t="s">
        <v>8</v>
      </c>
      <c r="K5" s="56"/>
      <c r="L5" s="56"/>
      <c r="M5" s="995" t="s">
        <v>9</v>
      </c>
      <c r="N5" s="74">
        <f>N3*N2</f>
        <v>2.5052785600000003</v>
      </c>
      <c r="O5" s="62"/>
    </row>
    <row r="6" spans="1:15" x14ac:dyDescent="0.25">
      <c r="A6" s="995" t="s">
        <v>7</v>
      </c>
      <c r="B6" s="28" t="s">
        <v>467</v>
      </c>
      <c r="C6" s="56"/>
      <c r="D6" s="56"/>
      <c r="E6" s="56"/>
      <c r="F6" s="56"/>
      <c r="G6" s="56"/>
      <c r="H6" s="56"/>
      <c r="I6" s="56"/>
      <c r="J6" s="997" t="s">
        <v>12</v>
      </c>
      <c r="K6" s="56"/>
      <c r="L6" s="56"/>
      <c r="M6" s="56"/>
      <c r="N6" s="56"/>
      <c r="O6" s="62"/>
    </row>
    <row r="7" spans="1:15" x14ac:dyDescent="0.25">
      <c r="A7" s="995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95" t="s">
        <v>13</v>
      </c>
      <c r="B8" s="16" t="s">
        <v>468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998" t="s">
        <v>14</v>
      </c>
      <c r="B10" s="999" t="s">
        <v>19</v>
      </c>
      <c r="C10" s="999" t="s">
        <v>20</v>
      </c>
      <c r="D10" s="999" t="s">
        <v>21</v>
      </c>
      <c r="E10" s="999" t="s">
        <v>22</v>
      </c>
      <c r="F10" s="1000" t="s">
        <v>23</v>
      </c>
      <c r="G10" s="1000" t="s">
        <v>24</v>
      </c>
      <c r="H10" s="1000" t="s">
        <v>25</v>
      </c>
      <c r="I10" s="1000" t="s">
        <v>26</v>
      </c>
      <c r="J10" s="1000" t="s">
        <v>27</v>
      </c>
      <c r="K10" s="1000" t="s">
        <v>28</v>
      </c>
      <c r="L10" s="1000" t="s">
        <v>29</v>
      </c>
      <c r="M10" s="1000" t="s">
        <v>17</v>
      </c>
      <c r="N10" s="1000" t="s">
        <v>18</v>
      </c>
      <c r="O10" s="62"/>
    </row>
    <row r="11" spans="1:15" s="22" customFormat="1" ht="30" x14ac:dyDescent="0.25">
      <c r="A11" s="1027">
        <v>10</v>
      </c>
      <c r="B11" s="968" t="s">
        <v>469</v>
      </c>
      <c r="C11" s="969"/>
      <c r="D11" s="32">
        <v>4.2</v>
      </c>
      <c r="E11" s="1022">
        <f>J11*K11*L11</f>
        <v>5.1256800000000005E-2</v>
      </c>
      <c r="F11" s="969" t="s">
        <v>141</v>
      </c>
      <c r="G11" s="969"/>
      <c r="H11" s="971"/>
      <c r="I11" s="830" t="s">
        <v>470</v>
      </c>
      <c r="J11" s="1023">
        <f>0.07*0.045</f>
        <v>3.15E-3</v>
      </c>
      <c r="K11" s="1024">
        <v>6.0000000000000001E-3</v>
      </c>
      <c r="L11" s="981">
        <v>2712</v>
      </c>
      <c r="M11" s="982">
        <v>1</v>
      </c>
      <c r="N11" s="32">
        <f>D11*E11</f>
        <v>0.21527856000000004</v>
      </c>
      <c r="O11" s="66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03">
        <f>N11*M11</f>
        <v>0.21527856000000004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1004" t="s">
        <v>14</v>
      </c>
      <c r="B14" s="1000" t="s">
        <v>31</v>
      </c>
      <c r="C14" s="1000" t="s">
        <v>20</v>
      </c>
      <c r="D14" s="1000" t="s">
        <v>21</v>
      </c>
      <c r="E14" s="1000" t="s">
        <v>32</v>
      </c>
      <c r="F14" s="1000" t="s">
        <v>17</v>
      </c>
      <c r="G14" s="1000" t="s">
        <v>33</v>
      </c>
      <c r="H14" s="1000" t="s">
        <v>34</v>
      </c>
      <c r="I14" s="1000" t="s">
        <v>18</v>
      </c>
      <c r="J14" s="24"/>
      <c r="K14" s="24"/>
      <c r="L14" s="24"/>
      <c r="M14" s="24"/>
      <c r="N14" s="24"/>
      <c r="O14" s="62"/>
    </row>
    <row r="15" spans="1:15" s="25" customFormat="1" ht="30" x14ac:dyDescent="0.25">
      <c r="A15" s="1005">
        <v>10</v>
      </c>
      <c r="B15" s="1006" t="s">
        <v>457</v>
      </c>
      <c r="C15" s="1006" t="s">
        <v>471</v>
      </c>
      <c r="D15" s="1026">
        <v>1.3</v>
      </c>
      <c r="E15" s="1005" t="s">
        <v>32</v>
      </c>
      <c r="F15" s="1005">
        <v>1</v>
      </c>
      <c r="G15" s="1005"/>
      <c r="H15" s="1005">
        <v>1</v>
      </c>
      <c r="I15" s="32">
        <f>IF(H15="",D15*F15,D15*F15*H15)</f>
        <v>1.3</v>
      </c>
      <c r="J15" s="58"/>
      <c r="K15" s="58"/>
      <c r="L15" s="58"/>
      <c r="M15" s="58"/>
      <c r="N15" s="58"/>
      <c r="O15" s="68"/>
    </row>
    <row r="16" spans="1:15" ht="30" x14ac:dyDescent="0.25">
      <c r="A16" s="1005">
        <v>20</v>
      </c>
      <c r="B16" s="1006" t="s">
        <v>92</v>
      </c>
      <c r="C16" s="1006" t="s">
        <v>472</v>
      </c>
      <c r="D16" s="1026">
        <v>0.04</v>
      </c>
      <c r="E16" s="1005" t="s">
        <v>93</v>
      </c>
      <c r="F16" s="1005">
        <v>5.3</v>
      </c>
      <c r="G16" s="1005" t="s">
        <v>193</v>
      </c>
      <c r="H16" s="1005">
        <v>1</v>
      </c>
      <c r="I16" s="32">
        <f>IF(H16="",D16*F16,D16*F16*H16)</f>
        <v>0.21199999999999999</v>
      </c>
      <c r="J16" s="56"/>
      <c r="K16" s="56"/>
      <c r="L16" s="56"/>
      <c r="M16" s="56"/>
      <c r="N16" s="56"/>
      <c r="O16" s="62"/>
    </row>
    <row r="17" spans="1:15" s="17" customFormat="1" ht="30" x14ac:dyDescent="0.25">
      <c r="A17" s="1005">
        <v>30</v>
      </c>
      <c r="B17" s="1006" t="s">
        <v>91</v>
      </c>
      <c r="C17" s="1006" t="s">
        <v>473</v>
      </c>
      <c r="D17" s="1026">
        <v>0.65</v>
      </c>
      <c r="E17" s="1005" t="s">
        <v>32</v>
      </c>
      <c r="F17" s="1005">
        <v>1</v>
      </c>
      <c r="G17" s="1005"/>
      <c r="H17" s="1005">
        <v>1</v>
      </c>
      <c r="I17" s="32">
        <f>IF(H17="",D17*F17,D17*F17*H17)</f>
        <v>0.65</v>
      </c>
      <c r="J17" s="57"/>
      <c r="K17" s="57"/>
      <c r="L17" s="57"/>
      <c r="M17" s="57"/>
      <c r="N17" s="57"/>
      <c r="O17" s="65"/>
    </row>
    <row r="18" spans="1:15" s="17" customFormat="1" ht="30" x14ac:dyDescent="0.25">
      <c r="A18" s="1005">
        <v>40</v>
      </c>
      <c r="B18" s="1006" t="s">
        <v>92</v>
      </c>
      <c r="C18" s="1006" t="s">
        <v>472</v>
      </c>
      <c r="D18" s="1026">
        <v>0.04</v>
      </c>
      <c r="E18" s="1005" t="s">
        <v>93</v>
      </c>
      <c r="F18" s="1005">
        <v>3.2</v>
      </c>
      <c r="G18" s="1005" t="s">
        <v>193</v>
      </c>
      <c r="H18" s="1005">
        <v>1</v>
      </c>
      <c r="I18" s="32">
        <f>IF(H18="",D18*F18,D18*F18*H18)</f>
        <v>0.128</v>
      </c>
      <c r="J18" s="57"/>
      <c r="K18" s="57"/>
      <c r="L18" s="57"/>
      <c r="M18" s="57"/>
      <c r="N18" s="57"/>
      <c r="O18" s="65"/>
    </row>
    <row r="19" spans="1:15" x14ac:dyDescent="0.25">
      <c r="A19" s="67"/>
      <c r="B19" s="24"/>
      <c r="C19" s="24"/>
      <c r="D19" s="24"/>
      <c r="E19" s="24"/>
      <c r="F19" s="24"/>
      <c r="G19" s="24"/>
      <c r="H19" s="108" t="s">
        <v>18</v>
      </c>
      <c r="I19" s="1003">
        <f>SUM(I15:I18)</f>
        <v>2.29</v>
      </c>
      <c r="J19" s="24"/>
      <c r="K19" s="24"/>
      <c r="L19" s="24"/>
      <c r="M19" s="24"/>
      <c r="N19" s="24"/>
      <c r="O19" s="62"/>
    </row>
    <row r="20" spans="1:15" x14ac:dyDescent="0.25">
      <c r="A20" s="63"/>
      <c r="B20" s="56"/>
      <c r="C20" s="56"/>
      <c r="D20" s="56"/>
      <c r="E20" s="56"/>
      <c r="F20" s="56"/>
      <c r="G20" s="56"/>
      <c r="H20" s="56"/>
      <c r="I20" s="57"/>
      <c r="J20" s="56"/>
      <c r="K20" s="56"/>
      <c r="L20" s="56"/>
      <c r="M20" s="56"/>
      <c r="N20" s="56"/>
      <c r="O20" s="62"/>
    </row>
    <row r="21" spans="1:15" ht="15.75" thickBot="1" x14ac:dyDescent="0.3">
      <c r="A21" s="69"/>
      <c r="B21" s="70"/>
      <c r="C21" s="70"/>
      <c r="D21" s="70"/>
      <c r="E21" s="70"/>
      <c r="F21" s="70"/>
      <c r="G21" s="70"/>
      <c r="H21" s="70"/>
      <c r="I21" s="70"/>
      <c r="J21" s="70"/>
      <c r="K21" s="70"/>
      <c r="L21" s="70"/>
      <c r="M21" s="70"/>
      <c r="N21" s="70"/>
      <c r="O21" s="71"/>
    </row>
  </sheetData>
  <hyperlinks>
    <hyperlink ref="E3" location="dSU_10002" display="Drawing" xr:uid="{00000000-0004-0000-7100-000000000000}"/>
    <hyperlink ref="B4" location="SU_A1000" display="SU_A1000" xr:uid="{00000000-0004-0000-7100-000001000000}"/>
    <hyperlink ref="G2" location="SU_A1000_BOM" display="Back to BOM" xr:uid="{00000000-0004-0000-71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2" firstPageNumber="0" fitToHeight="99" orientation="landscape" r:id="rId1"/>
  <headerFooter>
    <oddFooter>Page &amp;P</oddFooter>
  </headerFooter>
  <rowBreaks count="2" manualBreakCount="2">
    <brk id="21" max="16383" man="1"/>
    <brk id="55" max="16383" man="1"/>
  </rowBreaks>
  <drawing r:id="rId2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200-000000000000}">
  <sheetPr>
    <tabColor rgb="FFFFFF66"/>
    <pageSetUpPr fitToPage="1"/>
  </sheetPr>
  <dimension ref="A1:B1"/>
  <sheetViews>
    <sheetView zoomScale="85" zoomScaleNormal="85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124</v>
      </c>
      <c r="B1" s="996" t="s">
        <v>493</v>
      </c>
    </row>
  </sheetData>
  <hyperlinks>
    <hyperlink ref="B1" location="SU_10002" display="SU_10002" xr:uid="{00000000-0004-0000-72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300-000000000000}">
  <sheetPr>
    <tabColor rgb="FFFFFF66"/>
    <pageSetUpPr fitToPage="1"/>
  </sheetPr>
  <dimension ref="A1:O24"/>
  <sheetViews>
    <sheetView zoomScale="110" zoomScaleNormal="11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17.7109375" customWidth="1"/>
    <col min="3" max="3" width="27.28515625" customWidth="1"/>
    <col min="14" max="14" width="12.5703125" bestFit="1" customWidth="1"/>
    <col min="15" max="15" width="3.140625" customWidth="1"/>
  </cols>
  <sheetData>
    <row r="1" spans="1:15" x14ac:dyDescent="0.25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25">
      <c r="A2" s="1015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5" t="s">
        <v>16</v>
      </c>
      <c r="N2" s="74">
        <f>SU_10003_m+SU_10003_p</f>
        <v>18.677843750000001</v>
      </c>
      <c r="O2" s="264"/>
    </row>
    <row r="3" spans="1:15" x14ac:dyDescent="0.25">
      <c r="A3" s="1015" t="s">
        <v>3</v>
      </c>
      <c r="B3" s="16" t="str">
        <f>'SU A1000'!B3</f>
        <v>Wheels &amp; Tires</v>
      </c>
      <c r="C3" s="56"/>
      <c r="D3" s="995" t="s">
        <v>6</v>
      </c>
      <c r="E3" s="271" t="s">
        <v>60</v>
      </c>
      <c r="F3" s="56"/>
      <c r="G3" s="56"/>
      <c r="H3" s="56"/>
      <c r="I3" s="56"/>
      <c r="J3" s="56"/>
      <c r="K3" s="56"/>
      <c r="L3" s="56"/>
      <c r="M3" s="995" t="s">
        <v>4</v>
      </c>
      <c r="N3" s="82">
        <v>1</v>
      </c>
      <c r="O3" s="264"/>
    </row>
    <row r="4" spans="1:15" x14ac:dyDescent="0.25">
      <c r="A4" s="1015" t="s">
        <v>5</v>
      </c>
      <c r="B4" s="271" t="str">
        <f>'SU A1000'!B4</f>
        <v>Front Uprights</v>
      </c>
      <c r="C4" s="56"/>
      <c r="D4" s="995" t="s">
        <v>8</v>
      </c>
      <c r="E4" s="56"/>
      <c r="F4" s="56"/>
      <c r="G4" s="56"/>
      <c r="H4" s="56"/>
      <c r="I4" s="56"/>
      <c r="J4" s="997" t="s">
        <v>6</v>
      </c>
      <c r="K4" s="56"/>
      <c r="L4" s="56"/>
      <c r="M4" s="56"/>
      <c r="N4" s="56"/>
      <c r="O4" s="264"/>
    </row>
    <row r="5" spans="1:15" x14ac:dyDescent="0.25">
      <c r="A5" s="1015" t="s">
        <v>15</v>
      </c>
      <c r="B5" s="18" t="s">
        <v>434</v>
      </c>
      <c r="C5" s="56"/>
      <c r="D5" s="995" t="s">
        <v>12</v>
      </c>
      <c r="E5" s="56"/>
      <c r="F5" s="56"/>
      <c r="G5" s="56"/>
      <c r="H5" s="56"/>
      <c r="I5" s="56"/>
      <c r="J5" s="997" t="s">
        <v>8</v>
      </c>
      <c r="K5" s="56"/>
      <c r="L5" s="56"/>
      <c r="M5" s="995" t="s">
        <v>9</v>
      </c>
      <c r="N5" s="74">
        <f>N3*N2</f>
        <v>18.677843750000001</v>
      </c>
      <c r="O5" s="264"/>
    </row>
    <row r="6" spans="1:15" x14ac:dyDescent="0.25">
      <c r="A6" s="1015" t="s">
        <v>7</v>
      </c>
      <c r="B6" s="28" t="s">
        <v>474</v>
      </c>
      <c r="C6" s="56"/>
      <c r="D6" s="56"/>
      <c r="E6" s="56"/>
      <c r="F6" s="56"/>
      <c r="G6" s="56"/>
      <c r="H6" s="56"/>
      <c r="I6" s="56"/>
      <c r="J6" s="997" t="s">
        <v>12</v>
      </c>
      <c r="K6" s="56"/>
      <c r="L6" s="56"/>
      <c r="M6" s="56"/>
      <c r="N6" s="56"/>
      <c r="O6" s="264"/>
    </row>
    <row r="7" spans="1:15" x14ac:dyDescent="0.25">
      <c r="A7" s="1015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64"/>
    </row>
    <row r="8" spans="1:15" x14ac:dyDescent="0.25">
      <c r="A8" s="1015" t="s">
        <v>13</v>
      </c>
      <c r="B8" s="16" t="s">
        <v>475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64"/>
    </row>
    <row r="9" spans="1:15" x14ac:dyDescent="0.25">
      <c r="A9" s="1016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64"/>
    </row>
    <row r="10" spans="1:15" x14ac:dyDescent="0.25">
      <c r="A10" s="1017" t="s">
        <v>14</v>
      </c>
      <c r="B10" s="999" t="s">
        <v>19</v>
      </c>
      <c r="C10" s="999" t="s">
        <v>20</v>
      </c>
      <c r="D10" s="999" t="s">
        <v>21</v>
      </c>
      <c r="E10" s="999" t="s">
        <v>22</v>
      </c>
      <c r="F10" s="1000" t="s">
        <v>23</v>
      </c>
      <c r="G10" s="1000" t="s">
        <v>24</v>
      </c>
      <c r="H10" s="1000" t="s">
        <v>25</v>
      </c>
      <c r="I10" s="1000" t="s">
        <v>26</v>
      </c>
      <c r="J10" s="1000" t="s">
        <v>27</v>
      </c>
      <c r="K10" s="1000" t="s">
        <v>28</v>
      </c>
      <c r="L10" s="1000" t="s">
        <v>29</v>
      </c>
      <c r="M10" s="1000" t="s">
        <v>17</v>
      </c>
      <c r="N10" s="1000" t="s">
        <v>18</v>
      </c>
      <c r="O10" s="264"/>
    </row>
    <row r="11" spans="1:15" s="22" customFormat="1" x14ac:dyDescent="0.25">
      <c r="A11" s="1018">
        <v>10</v>
      </c>
      <c r="B11" s="665" t="s">
        <v>476</v>
      </c>
      <c r="C11" s="20"/>
      <c r="D11" s="277">
        <v>2.25</v>
      </c>
      <c r="E11" s="1001">
        <f>J11*K11*L11</f>
        <v>1.236375</v>
      </c>
      <c r="F11" s="20" t="s">
        <v>141</v>
      </c>
      <c r="G11" s="20"/>
      <c r="H11" s="278"/>
      <c r="I11" s="21" t="s">
        <v>477</v>
      </c>
      <c r="J11" s="1002">
        <f>0.05*0.07</f>
        <v>3.5000000000000005E-3</v>
      </c>
      <c r="K11" s="668">
        <v>4.4999999999999998E-2</v>
      </c>
      <c r="L11" s="669">
        <v>7850</v>
      </c>
      <c r="M11" s="23">
        <v>1</v>
      </c>
      <c r="N11" s="277">
        <f>D11*E11</f>
        <v>2.7818437500000002</v>
      </c>
      <c r="O11" s="718"/>
    </row>
    <row r="12" spans="1:15" x14ac:dyDescent="0.25">
      <c r="A12" s="719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03">
        <f>N11*M11</f>
        <v>2.7818437500000002</v>
      </c>
      <c r="O12" s="264"/>
    </row>
    <row r="13" spans="1:15" x14ac:dyDescent="0.25">
      <c r="A13" s="705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64"/>
    </row>
    <row r="14" spans="1:15" x14ac:dyDescent="0.25">
      <c r="A14" s="1019" t="s">
        <v>14</v>
      </c>
      <c r="B14" s="1000" t="s">
        <v>31</v>
      </c>
      <c r="C14" s="1000" t="s">
        <v>20</v>
      </c>
      <c r="D14" s="1000" t="s">
        <v>21</v>
      </c>
      <c r="E14" s="1000" t="s">
        <v>32</v>
      </c>
      <c r="F14" s="1000" t="s">
        <v>17</v>
      </c>
      <c r="G14" s="1000" t="s">
        <v>33</v>
      </c>
      <c r="H14" s="1000" t="s">
        <v>34</v>
      </c>
      <c r="I14" s="1000" t="s">
        <v>18</v>
      </c>
      <c r="J14" s="24"/>
      <c r="K14" s="24"/>
      <c r="L14" s="24"/>
      <c r="M14" s="24"/>
      <c r="N14" s="24"/>
      <c r="O14" s="264"/>
    </row>
    <row r="15" spans="1:15" s="25" customFormat="1" x14ac:dyDescent="0.25">
      <c r="A15" s="1020">
        <v>10</v>
      </c>
      <c r="B15" s="656" t="s">
        <v>457</v>
      </c>
      <c r="C15" s="656" t="s">
        <v>458</v>
      </c>
      <c r="D15" s="273">
        <v>1.3</v>
      </c>
      <c r="E15" s="994" t="s">
        <v>32</v>
      </c>
      <c r="F15" s="994">
        <v>1</v>
      </c>
      <c r="G15" s="994"/>
      <c r="H15" s="994">
        <v>1</v>
      </c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720"/>
    </row>
    <row r="16" spans="1:15" x14ac:dyDescent="0.25">
      <c r="A16" s="1020">
        <v>20</v>
      </c>
      <c r="B16" s="656" t="s">
        <v>92</v>
      </c>
      <c r="C16" s="656" t="s">
        <v>478</v>
      </c>
      <c r="D16" s="273">
        <v>0.04</v>
      </c>
      <c r="E16" s="994" t="s">
        <v>93</v>
      </c>
      <c r="F16" s="994">
        <v>85.4</v>
      </c>
      <c r="G16" s="994" t="s">
        <v>339</v>
      </c>
      <c r="H16" s="994">
        <v>3</v>
      </c>
      <c r="I16" s="277">
        <f>IF(H16="",D16*F16,D16*F16*H16)</f>
        <v>10.248000000000001</v>
      </c>
      <c r="J16" s="56"/>
      <c r="K16" s="56"/>
      <c r="L16" s="56"/>
      <c r="M16" s="56"/>
      <c r="N16" s="56"/>
      <c r="O16" s="264"/>
    </row>
    <row r="17" spans="1:15" s="17" customFormat="1" x14ac:dyDescent="0.25">
      <c r="A17" s="1020">
        <v>30</v>
      </c>
      <c r="B17" s="656" t="s">
        <v>91</v>
      </c>
      <c r="C17" s="656" t="s">
        <v>460</v>
      </c>
      <c r="D17" s="273">
        <v>0.65</v>
      </c>
      <c r="E17" s="994" t="s">
        <v>32</v>
      </c>
      <c r="F17" s="994">
        <v>1</v>
      </c>
      <c r="G17" s="994"/>
      <c r="H17" s="994">
        <v>1</v>
      </c>
      <c r="I17" s="277">
        <f t="shared" si="0"/>
        <v>0.65</v>
      </c>
      <c r="J17" s="57"/>
      <c r="K17" s="57"/>
      <c r="L17" s="57"/>
      <c r="M17" s="57"/>
      <c r="N17" s="57"/>
      <c r="O17" s="723"/>
    </row>
    <row r="18" spans="1:15" s="17" customFormat="1" x14ac:dyDescent="0.25">
      <c r="A18" s="1020">
        <v>40</v>
      </c>
      <c r="B18" s="656" t="s">
        <v>92</v>
      </c>
      <c r="C18" s="656" t="s">
        <v>479</v>
      </c>
      <c r="D18" s="273">
        <v>0.04</v>
      </c>
      <c r="E18" s="994" t="s">
        <v>93</v>
      </c>
      <c r="F18" s="994">
        <v>25.2</v>
      </c>
      <c r="G18" s="994" t="s">
        <v>339</v>
      </c>
      <c r="H18" s="994">
        <v>3</v>
      </c>
      <c r="I18" s="277">
        <f>IF(H18="",D18*F18,D18*F18*H18)</f>
        <v>3.024</v>
      </c>
      <c r="J18" s="57"/>
      <c r="K18" s="57"/>
      <c r="L18" s="57"/>
      <c r="M18" s="57"/>
      <c r="N18" s="57"/>
      <c r="O18" s="723"/>
    </row>
    <row r="19" spans="1:15" s="17" customFormat="1" x14ac:dyDescent="0.25">
      <c r="A19" s="1020">
        <v>50</v>
      </c>
      <c r="B19" s="656" t="s">
        <v>91</v>
      </c>
      <c r="C19" s="656" t="s">
        <v>460</v>
      </c>
      <c r="D19" s="273">
        <v>0.65</v>
      </c>
      <c r="E19" s="994" t="s">
        <v>32</v>
      </c>
      <c r="F19" s="994">
        <v>1</v>
      </c>
      <c r="G19" s="994"/>
      <c r="H19" s="994">
        <v>1</v>
      </c>
      <c r="I19" s="277">
        <f t="shared" si="0"/>
        <v>0.65</v>
      </c>
      <c r="J19" s="57"/>
      <c r="K19" s="57"/>
      <c r="L19" s="57"/>
      <c r="M19" s="57"/>
      <c r="N19" s="57"/>
      <c r="O19" s="723"/>
    </row>
    <row r="20" spans="1:15" s="17" customFormat="1" x14ac:dyDescent="0.25">
      <c r="A20" s="1020">
        <v>60</v>
      </c>
      <c r="B20" s="656" t="s">
        <v>92</v>
      </c>
      <c r="C20" s="656" t="s">
        <v>480</v>
      </c>
      <c r="D20" s="273">
        <v>0.04</v>
      </c>
      <c r="E20" s="994" t="s">
        <v>93</v>
      </c>
      <c r="F20" s="994">
        <v>0.2</v>
      </c>
      <c r="G20" s="994" t="s">
        <v>339</v>
      </c>
      <c r="H20" s="994">
        <v>3</v>
      </c>
      <c r="I20" s="277">
        <f>IF(H20="",D20*F20,D20*F20*H20)</f>
        <v>2.4E-2</v>
      </c>
      <c r="J20" s="57"/>
      <c r="K20" s="57"/>
      <c r="L20" s="57"/>
      <c r="M20" s="57"/>
      <c r="N20" s="57"/>
      <c r="O20" s="723"/>
    </row>
    <row r="21" spans="1:15" x14ac:dyDescent="0.25">
      <c r="A21" s="1020">
        <v>70</v>
      </c>
      <c r="B21" s="656" t="s">
        <v>91</v>
      </c>
      <c r="C21" s="656" t="s">
        <v>460</v>
      </c>
      <c r="D21" s="273">
        <v>0.65</v>
      </c>
      <c r="E21" s="994" t="s">
        <v>32</v>
      </c>
      <c r="F21" s="994">
        <v>1</v>
      </c>
      <c r="G21" s="994"/>
      <c r="H21" s="994">
        <v>1</v>
      </c>
      <c r="I21" s="277">
        <f t="shared" ref="I21" si="1">IF(H21="",D21*F21,D21*F21*H21)</f>
        <v>0.65</v>
      </c>
      <c r="J21" s="24"/>
      <c r="K21" s="24"/>
      <c r="L21" s="24"/>
      <c r="M21" s="24"/>
      <c r="N21" s="24"/>
      <c r="O21" s="264"/>
    </row>
    <row r="22" spans="1:15" x14ac:dyDescent="0.25">
      <c r="A22" s="1020">
        <v>80</v>
      </c>
      <c r="B22" s="656" t="s">
        <v>92</v>
      </c>
      <c r="C22" s="656" t="s">
        <v>481</v>
      </c>
      <c r="D22" s="273">
        <v>0.04</v>
      </c>
      <c r="E22" s="994" t="s">
        <v>93</v>
      </c>
      <c r="F22" s="994">
        <v>3.56</v>
      </c>
      <c r="G22" s="994" t="s">
        <v>339</v>
      </c>
      <c r="H22" s="992">
        <v>3</v>
      </c>
      <c r="I22" s="1035">
        <f>IF(H22="",D22*F22,D22*F22*H22)</f>
        <v>0.42720000000000002</v>
      </c>
      <c r="J22" s="56"/>
      <c r="K22" s="56"/>
      <c r="L22" s="56"/>
      <c r="M22" s="56"/>
      <c r="N22" s="56"/>
      <c r="O22" s="264"/>
    </row>
    <row r="23" spans="1:15" x14ac:dyDescent="0.25">
      <c r="A23" s="705"/>
      <c r="B23" s="56"/>
      <c r="C23" s="56"/>
      <c r="D23" s="56"/>
      <c r="E23" s="56"/>
      <c r="F23" s="56"/>
      <c r="G23" s="56"/>
      <c r="H23" s="105" t="s">
        <v>18</v>
      </c>
      <c r="I23" s="1036">
        <f>SUM(I15:I20)</f>
        <v>15.896000000000001</v>
      </c>
      <c r="J23" s="56"/>
      <c r="K23" s="56"/>
      <c r="L23" s="56"/>
      <c r="M23" s="56"/>
      <c r="N23" s="56"/>
      <c r="O23" s="264"/>
    </row>
    <row r="24" spans="1:15" ht="15.75" thickBot="1" x14ac:dyDescent="0.3">
      <c r="A24" s="284"/>
      <c r="B24" s="285"/>
      <c r="C24" s="285"/>
      <c r="D24" s="285"/>
      <c r="E24" s="285"/>
      <c r="F24" s="285"/>
      <c r="G24" s="285"/>
      <c r="H24" s="285"/>
      <c r="I24" s="285"/>
      <c r="J24" s="285"/>
      <c r="K24" s="285"/>
      <c r="L24" s="285"/>
      <c r="M24" s="285"/>
      <c r="N24" s="285"/>
      <c r="O24" s="286"/>
    </row>
  </sheetData>
  <hyperlinks>
    <hyperlink ref="E3" location="dSU_10003" display="Drawing" xr:uid="{00000000-0004-0000-7300-000000000000}"/>
    <hyperlink ref="B4" location="SU_A1000" display="SU_A1000" xr:uid="{00000000-0004-0000-7300-000001000000}"/>
    <hyperlink ref="G2" location="SU_A1000_BOM" display="Back to BOM" xr:uid="{00000000-0004-0000-73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8" firstPageNumber="0" fitToHeight="99" orientation="landscape" r:id="rId1"/>
  <headerFooter>
    <oddFooter>Page &amp;P</oddFooter>
  </headerFooter>
  <rowBreaks count="2" manualBreakCount="2">
    <brk id="23" max="16383" man="1"/>
    <brk id="57" max="16383" man="1"/>
  </rowBreaks>
  <drawing r:id="rId2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4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124</v>
      </c>
      <c r="B1" s="996" t="s">
        <v>494</v>
      </c>
    </row>
  </sheetData>
  <hyperlinks>
    <hyperlink ref="B1" location="SU_10003" display="SU_10003" xr:uid="{00000000-0004-0000-74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500-000000000000}">
  <sheetPr>
    <tabColor rgb="FFFFFF66"/>
    <pageSetUpPr fitToPage="1"/>
  </sheetPr>
  <dimension ref="A1:O19"/>
  <sheetViews>
    <sheetView zoomScale="90" zoomScaleNormal="9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18.85546875" customWidth="1"/>
    <col min="3" max="3" width="13.42578125" customWidth="1"/>
    <col min="7" max="7" width="11.7109375" customWidth="1"/>
    <col min="9" max="9" width="13" customWidth="1"/>
    <col min="14" max="14" width="12.5703125" bestFit="1" customWidth="1"/>
    <col min="15" max="15" width="3.140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95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5" t="s">
        <v>16</v>
      </c>
      <c r="N2" s="74">
        <f>SU_10004_m+SU_10004_p</f>
        <v>0.83572750000000007</v>
      </c>
      <c r="O2" s="62"/>
    </row>
    <row r="3" spans="1:15" x14ac:dyDescent="0.25">
      <c r="A3" s="995" t="s">
        <v>3</v>
      </c>
      <c r="B3" s="16" t="str">
        <f>'SU A1000'!B3</f>
        <v>Wheels &amp; Tires</v>
      </c>
      <c r="C3" s="56"/>
      <c r="D3" s="995" t="s">
        <v>6</v>
      </c>
      <c r="E3" s="275" t="s">
        <v>60</v>
      </c>
      <c r="F3" s="56"/>
      <c r="G3" s="56"/>
      <c r="H3" s="56"/>
      <c r="I3" s="56"/>
      <c r="J3" s="56"/>
      <c r="K3" s="56"/>
      <c r="L3" s="56"/>
      <c r="M3" s="995" t="s">
        <v>4</v>
      </c>
      <c r="N3" s="82">
        <v>1</v>
      </c>
      <c r="O3" s="62"/>
    </row>
    <row r="4" spans="1:15" x14ac:dyDescent="0.25">
      <c r="A4" s="995" t="s">
        <v>5</v>
      </c>
      <c r="B4" s="271" t="str">
        <f>'SU A1000'!B4</f>
        <v>Front Uprights</v>
      </c>
      <c r="C4" s="56"/>
      <c r="D4" s="995" t="s">
        <v>8</v>
      </c>
      <c r="E4" s="56"/>
      <c r="F4" s="56"/>
      <c r="G4" s="56"/>
      <c r="H4" s="56"/>
      <c r="I4" s="56"/>
      <c r="J4" s="997" t="s">
        <v>6</v>
      </c>
      <c r="K4" s="56"/>
      <c r="L4" s="56"/>
      <c r="M4" s="56"/>
      <c r="N4" s="56"/>
      <c r="O4" s="62"/>
    </row>
    <row r="5" spans="1:15" x14ac:dyDescent="0.25">
      <c r="A5" s="995" t="s">
        <v>15</v>
      </c>
      <c r="B5" s="18" t="s">
        <v>482</v>
      </c>
      <c r="C5" s="56"/>
      <c r="D5" s="995" t="s">
        <v>12</v>
      </c>
      <c r="E5" s="56"/>
      <c r="F5" s="56"/>
      <c r="G5" s="56"/>
      <c r="H5" s="56"/>
      <c r="I5" s="56"/>
      <c r="J5" s="997" t="s">
        <v>8</v>
      </c>
      <c r="K5" s="56"/>
      <c r="L5" s="56"/>
      <c r="M5" s="995" t="s">
        <v>9</v>
      </c>
      <c r="N5" s="74">
        <f>N3*N2</f>
        <v>0.83572750000000007</v>
      </c>
      <c r="O5" s="62"/>
    </row>
    <row r="6" spans="1:15" x14ac:dyDescent="0.25">
      <c r="A6" s="995" t="s">
        <v>7</v>
      </c>
      <c r="B6" s="28" t="s">
        <v>483</v>
      </c>
      <c r="C6" s="56"/>
      <c r="D6" s="56"/>
      <c r="E6" s="56"/>
      <c r="F6" s="56"/>
      <c r="G6" s="56"/>
      <c r="H6" s="56"/>
      <c r="I6" s="56"/>
      <c r="J6" s="997" t="s">
        <v>12</v>
      </c>
      <c r="K6" s="56"/>
      <c r="L6" s="56"/>
      <c r="M6" s="56"/>
      <c r="N6" s="56"/>
      <c r="O6" s="62"/>
    </row>
    <row r="7" spans="1:15" x14ac:dyDescent="0.25">
      <c r="A7" s="995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95" t="s">
        <v>13</v>
      </c>
      <c r="B8" s="16" t="s">
        <v>484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998" t="s">
        <v>14</v>
      </c>
      <c r="B10" s="999" t="s">
        <v>19</v>
      </c>
      <c r="C10" s="999" t="s">
        <v>20</v>
      </c>
      <c r="D10" s="999" t="s">
        <v>21</v>
      </c>
      <c r="E10" s="999" t="s">
        <v>22</v>
      </c>
      <c r="F10" s="1000" t="s">
        <v>23</v>
      </c>
      <c r="G10" s="1000" t="s">
        <v>24</v>
      </c>
      <c r="H10" s="1000" t="s">
        <v>25</v>
      </c>
      <c r="I10" s="1000" t="s">
        <v>26</v>
      </c>
      <c r="J10" s="1000" t="s">
        <v>27</v>
      </c>
      <c r="K10" s="1000" t="s">
        <v>28</v>
      </c>
      <c r="L10" s="1000" t="s">
        <v>29</v>
      </c>
      <c r="M10" s="1000" t="s">
        <v>17</v>
      </c>
      <c r="N10" s="1000" t="s">
        <v>18</v>
      </c>
      <c r="O10" s="62"/>
    </row>
    <row r="11" spans="1:15" s="25" customFormat="1" ht="30" x14ac:dyDescent="0.25">
      <c r="A11" s="1027">
        <v>10</v>
      </c>
      <c r="B11" s="968" t="s">
        <v>301</v>
      </c>
      <c r="C11" s="969"/>
      <c r="D11" s="32">
        <v>2.25</v>
      </c>
      <c r="E11" s="1022">
        <f>J11*K11*L11</f>
        <v>1.099E-2</v>
      </c>
      <c r="F11" s="969" t="s">
        <v>141</v>
      </c>
      <c r="G11" s="969"/>
      <c r="H11" s="971"/>
      <c r="I11" s="830" t="s">
        <v>485</v>
      </c>
      <c r="J11" s="1023">
        <f>(35*40*10^(-6))</f>
        <v>1.4E-3</v>
      </c>
      <c r="K11" s="1024">
        <v>1E-3</v>
      </c>
      <c r="L11" s="981">
        <v>7850</v>
      </c>
      <c r="M11" s="982">
        <v>1</v>
      </c>
      <c r="N11" s="32">
        <f>D11*E11</f>
        <v>2.4727499999999999E-2</v>
      </c>
      <c r="O11" s="68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03">
        <f>N11*M11</f>
        <v>2.4727499999999999E-2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1004" t="s">
        <v>14</v>
      </c>
      <c r="B14" s="1000" t="s">
        <v>31</v>
      </c>
      <c r="C14" s="1000" t="s">
        <v>20</v>
      </c>
      <c r="D14" s="1000" t="s">
        <v>21</v>
      </c>
      <c r="E14" s="1000" t="s">
        <v>32</v>
      </c>
      <c r="F14" s="1000" t="s">
        <v>17</v>
      </c>
      <c r="G14" s="1000" t="s">
        <v>33</v>
      </c>
      <c r="H14" s="1000" t="s">
        <v>34</v>
      </c>
      <c r="I14" s="1000" t="s">
        <v>18</v>
      </c>
      <c r="J14" s="24"/>
      <c r="K14" s="24"/>
      <c r="L14" s="24"/>
      <c r="M14" s="24"/>
      <c r="N14" s="24"/>
      <c r="O14" s="62"/>
    </row>
    <row r="15" spans="1:15" s="25" customFormat="1" ht="30" x14ac:dyDescent="0.25">
      <c r="A15" s="1005">
        <v>10</v>
      </c>
      <c r="B15" s="1006" t="s">
        <v>457</v>
      </c>
      <c r="C15" s="1006" t="s">
        <v>471</v>
      </c>
      <c r="D15" s="1026">
        <v>1.3</v>
      </c>
      <c r="E15" s="1005" t="s">
        <v>32</v>
      </c>
      <c r="F15" s="1005">
        <v>1</v>
      </c>
      <c r="G15" s="1005" t="s">
        <v>486</v>
      </c>
      <c r="H15" s="1005">
        <v>0.5</v>
      </c>
      <c r="I15" s="32">
        <f>IF(H15="",D15*F15,D15*F15*H15)</f>
        <v>0.65</v>
      </c>
      <c r="J15" s="58"/>
      <c r="K15" s="58"/>
      <c r="L15" s="58"/>
      <c r="M15" s="58"/>
      <c r="N15" s="58"/>
      <c r="O15" s="68"/>
    </row>
    <row r="16" spans="1:15" x14ac:dyDescent="0.25">
      <c r="A16" s="1005">
        <v>20</v>
      </c>
      <c r="B16" s="1006" t="s">
        <v>347</v>
      </c>
      <c r="C16" s="1006"/>
      <c r="D16" s="1026">
        <v>0.01</v>
      </c>
      <c r="E16" s="1005" t="s">
        <v>40</v>
      </c>
      <c r="F16" s="1005">
        <v>16.100000000000001</v>
      </c>
      <c r="G16" s="664"/>
      <c r="H16" s="1028">
        <v>1</v>
      </c>
      <c r="I16" s="32">
        <f>F16*D16</f>
        <v>0.161</v>
      </c>
      <c r="J16" s="56"/>
      <c r="K16" s="56"/>
      <c r="L16" s="56"/>
      <c r="M16" s="56"/>
      <c r="N16" s="56"/>
      <c r="O16" s="62"/>
    </row>
    <row r="17" spans="1:15" x14ac:dyDescent="0.25">
      <c r="A17" s="1005">
        <v>30</v>
      </c>
      <c r="B17" s="1006" t="s">
        <v>487</v>
      </c>
      <c r="C17" s="1006"/>
      <c r="D17" s="1007">
        <v>0.25</v>
      </c>
      <c r="E17" s="1005" t="s">
        <v>488</v>
      </c>
      <c r="F17" s="1005">
        <v>2</v>
      </c>
      <c r="G17" s="1005"/>
      <c r="H17" s="1005">
        <v>1</v>
      </c>
      <c r="I17" s="32">
        <f>F17*D17</f>
        <v>0.5</v>
      </c>
      <c r="J17" s="24"/>
      <c r="K17" s="24"/>
      <c r="L17" s="24"/>
      <c r="M17" s="24"/>
      <c r="N17" s="24"/>
      <c r="O17" s="62"/>
    </row>
    <row r="18" spans="1:15" x14ac:dyDescent="0.25">
      <c r="A18" s="63"/>
      <c r="B18" s="56"/>
      <c r="C18" s="56"/>
      <c r="D18" s="56"/>
      <c r="E18" s="56"/>
      <c r="F18" s="56"/>
      <c r="G18" s="56"/>
      <c r="H18" s="108" t="s">
        <v>18</v>
      </c>
      <c r="I18" s="1003">
        <f>SUM(I15:I16)</f>
        <v>0.81100000000000005</v>
      </c>
      <c r="J18" s="56"/>
      <c r="K18" s="56"/>
      <c r="L18" s="56"/>
      <c r="M18" s="56"/>
      <c r="N18" s="56"/>
      <c r="O18" s="62"/>
    </row>
    <row r="19" spans="1:15" ht="15.75" thickBot="1" x14ac:dyDescent="0.3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0004" display="Drawing" xr:uid="{00000000-0004-0000-7500-000000000000}"/>
    <hyperlink ref="B4" location="SU_A1000" display="SU_A1000" xr:uid="{00000000-0004-0000-7500-000001000000}"/>
    <hyperlink ref="G2" location="SU_A1000_BOM" display="Back to BOM" xr:uid="{00000000-0004-0000-75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92" firstPageNumber="0" fitToHeight="99" orientation="landscape" r:id="rId1"/>
  <headerFooter>
    <oddFooter>Page &amp;P</oddFooter>
  </headerFooter>
  <rowBreaks count="2" manualBreakCount="2">
    <brk id="19" max="16383" man="1"/>
    <brk id="53" max="16383" man="1"/>
  </rowBreaks>
  <drawing r:id="rId2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6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124</v>
      </c>
      <c r="B1" s="275" t="s">
        <v>495</v>
      </c>
    </row>
  </sheetData>
  <hyperlinks>
    <hyperlink ref="B1" location="SU_10004" display="SU_10004" xr:uid="{00000000-0004-0000-76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5" customWidth="1"/>
  </cols>
  <sheetData>
    <row r="1" spans="1:2" x14ac:dyDescent="0.25">
      <c r="A1" t="s">
        <v>99</v>
      </c>
      <c r="B1" s="88" t="str">
        <f>SU_01006</f>
        <v>SU_01006</v>
      </c>
    </row>
  </sheetData>
  <hyperlinks>
    <hyperlink ref="B1" location="SU_01006" display="SU_01006" xr:uid="{00000000-0004-0000-0B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700-000000000000}">
  <sheetPr>
    <tabColor rgb="FFFFFF66"/>
    <pageSetUpPr fitToPage="1"/>
  </sheetPr>
  <dimension ref="A1:O19"/>
  <sheetViews>
    <sheetView zoomScale="90" zoomScaleNormal="90" zoomScalePageLayoutView="70" workbookViewId="0">
      <selection activeCell="E2" sqref="E2"/>
    </sheetView>
  </sheetViews>
  <sheetFormatPr baseColWidth="10" defaultColWidth="9.140625" defaultRowHeight="15" x14ac:dyDescent="0.25"/>
  <cols>
    <col min="1" max="1" width="9.28515625" bestFit="1" customWidth="1"/>
    <col min="2" max="2" width="19.140625" customWidth="1"/>
    <col min="4" max="6" width="9.28515625" bestFit="1" customWidth="1"/>
    <col min="7" max="7" width="11.5703125" customWidth="1"/>
    <col min="8" max="8" width="12.7109375" bestFit="1" customWidth="1"/>
    <col min="9" max="9" width="15.42578125" customWidth="1"/>
    <col min="10" max="13" width="9.28515625" bestFit="1" customWidth="1"/>
    <col min="14" max="14" width="12.7109375" bestFit="1" customWidth="1"/>
    <col min="15" max="15" width="3.140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95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5" t="s">
        <v>16</v>
      </c>
      <c r="N2" s="74">
        <f>SU_10005_m+SU_10005_p</f>
        <v>0.42691833333333334</v>
      </c>
      <c r="O2" s="62"/>
    </row>
    <row r="3" spans="1:15" x14ac:dyDescent="0.25">
      <c r="A3" s="995" t="s">
        <v>3</v>
      </c>
      <c r="B3" s="16" t="str">
        <f>'SU A1000'!B3</f>
        <v>Wheels &amp; Tires</v>
      </c>
      <c r="C3" s="56"/>
      <c r="D3" s="995" t="s">
        <v>6</v>
      </c>
      <c r="E3" s="996" t="s">
        <v>60</v>
      </c>
      <c r="F3" s="56"/>
      <c r="G3" s="56"/>
      <c r="H3" s="56"/>
      <c r="I3" s="56"/>
      <c r="J3" s="56"/>
      <c r="K3" s="56"/>
      <c r="L3" s="56"/>
      <c r="M3" s="995" t="s">
        <v>4</v>
      </c>
      <c r="N3" s="82">
        <v>15</v>
      </c>
      <c r="O3" s="62"/>
    </row>
    <row r="4" spans="1:15" x14ac:dyDescent="0.25">
      <c r="A4" s="995" t="s">
        <v>5</v>
      </c>
      <c r="B4" s="271" t="str">
        <f>'SU A1000'!B4</f>
        <v>Front Uprights</v>
      </c>
      <c r="C4" s="56"/>
      <c r="D4" s="995" t="s">
        <v>8</v>
      </c>
      <c r="E4" s="56"/>
      <c r="F4" s="56"/>
      <c r="G4" s="56"/>
      <c r="H4" s="56"/>
      <c r="I4" s="56"/>
      <c r="J4" s="997" t="s">
        <v>6</v>
      </c>
      <c r="K4" s="56"/>
      <c r="L4" s="56"/>
      <c r="M4" s="56"/>
      <c r="N4" s="56"/>
      <c r="O4" s="62"/>
    </row>
    <row r="5" spans="1:15" x14ac:dyDescent="0.25">
      <c r="A5" s="995" t="s">
        <v>15</v>
      </c>
      <c r="B5" s="18" t="s">
        <v>436</v>
      </c>
      <c r="C5" s="56"/>
      <c r="D5" s="995" t="s">
        <v>12</v>
      </c>
      <c r="E5" s="56"/>
      <c r="F5" s="56"/>
      <c r="G5" s="56"/>
      <c r="H5" s="56"/>
      <c r="I5" s="56"/>
      <c r="J5" s="997" t="s">
        <v>8</v>
      </c>
      <c r="K5" s="56"/>
      <c r="L5" s="56"/>
      <c r="M5" s="995" t="s">
        <v>9</v>
      </c>
      <c r="N5" s="74">
        <f>N3*N2</f>
        <v>6.4037750000000004</v>
      </c>
      <c r="O5" s="62"/>
    </row>
    <row r="6" spans="1:15" x14ac:dyDescent="0.25">
      <c r="A6" s="995" t="s">
        <v>7</v>
      </c>
      <c r="B6" s="28" t="s">
        <v>489</v>
      </c>
      <c r="C6" s="56"/>
      <c r="D6" s="56"/>
      <c r="E6" s="56"/>
      <c r="F6" s="56"/>
      <c r="G6" s="56"/>
      <c r="H6" s="56"/>
      <c r="I6" s="56"/>
      <c r="J6" s="997" t="s">
        <v>12</v>
      </c>
      <c r="K6" s="56"/>
      <c r="L6" s="56"/>
      <c r="M6" s="56"/>
      <c r="N6" s="56"/>
      <c r="O6" s="62"/>
    </row>
    <row r="7" spans="1:15" x14ac:dyDescent="0.25">
      <c r="A7" s="995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95" t="s">
        <v>13</v>
      </c>
      <c r="B8" s="16" t="s">
        <v>490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998" t="s">
        <v>14</v>
      </c>
      <c r="B10" s="999" t="s">
        <v>19</v>
      </c>
      <c r="C10" s="999" t="s">
        <v>20</v>
      </c>
      <c r="D10" s="999" t="s">
        <v>21</v>
      </c>
      <c r="E10" s="999" t="s">
        <v>22</v>
      </c>
      <c r="F10" s="1000" t="s">
        <v>23</v>
      </c>
      <c r="G10" s="1000" t="s">
        <v>24</v>
      </c>
      <c r="H10" s="1000" t="s">
        <v>25</v>
      </c>
      <c r="I10" s="1000" t="s">
        <v>26</v>
      </c>
      <c r="J10" s="1000" t="s">
        <v>27</v>
      </c>
      <c r="K10" s="1000" t="s">
        <v>28</v>
      </c>
      <c r="L10" s="1000" t="s">
        <v>29</v>
      </c>
      <c r="M10" s="1000" t="s">
        <v>17</v>
      </c>
      <c r="N10" s="1000" t="s">
        <v>18</v>
      </c>
      <c r="O10" s="62"/>
    </row>
    <row r="11" spans="1:15" s="22" customFormat="1" ht="30" x14ac:dyDescent="0.25">
      <c r="A11" s="1027">
        <v>10</v>
      </c>
      <c r="B11" s="766" t="s">
        <v>301</v>
      </c>
      <c r="C11" s="1005"/>
      <c r="D11" s="1026">
        <v>2.25</v>
      </c>
      <c r="E11" s="1022">
        <f>J11*K11*L11</f>
        <v>2.826E-2</v>
      </c>
      <c r="F11" s="969" t="s">
        <v>141</v>
      </c>
      <c r="G11" s="969"/>
      <c r="H11" s="971"/>
      <c r="I11" s="830" t="s">
        <v>491</v>
      </c>
      <c r="J11" s="1023">
        <f>0.08*0.045</f>
        <v>3.5999999999999999E-3</v>
      </c>
      <c r="K11" s="1024">
        <v>1E-3</v>
      </c>
      <c r="L11" s="981">
        <v>7850</v>
      </c>
      <c r="M11" s="982">
        <v>1</v>
      </c>
      <c r="N11" s="32">
        <f>D11*E11</f>
        <v>6.3585000000000003E-2</v>
      </c>
      <c r="O11" s="66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03">
        <f>N11*M11</f>
        <v>6.3585000000000003E-2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1004" t="s">
        <v>14</v>
      </c>
      <c r="B14" s="1000" t="s">
        <v>31</v>
      </c>
      <c r="C14" s="1000" t="s">
        <v>20</v>
      </c>
      <c r="D14" s="1000" t="s">
        <v>21</v>
      </c>
      <c r="E14" s="1000" t="s">
        <v>32</v>
      </c>
      <c r="F14" s="1000" t="s">
        <v>17</v>
      </c>
      <c r="G14" s="1000" t="s">
        <v>33</v>
      </c>
      <c r="H14" s="1000" t="s">
        <v>34</v>
      </c>
      <c r="I14" s="1000" t="s">
        <v>18</v>
      </c>
      <c r="J14" s="24"/>
      <c r="K14" s="24"/>
      <c r="L14" s="24"/>
      <c r="M14" s="24"/>
      <c r="N14" s="24"/>
      <c r="O14" s="62"/>
    </row>
    <row r="15" spans="1:15" s="25" customFormat="1" ht="30" x14ac:dyDescent="0.25">
      <c r="A15" s="1005">
        <v>10</v>
      </c>
      <c r="B15" s="1006" t="s">
        <v>457</v>
      </c>
      <c r="C15" s="1006" t="s">
        <v>471</v>
      </c>
      <c r="D15" s="1026">
        <v>1.3</v>
      </c>
      <c r="E15" s="1005" t="s">
        <v>32</v>
      </c>
      <c r="F15" s="1005">
        <v>1</v>
      </c>
      <c r="G15" s="1005" t="s">
        <v>486</v>
      </c>
      <c r="H15" s="1005">
        <f>1/30</f>
        <v>3.3333333333333333E-2</v>
      </c>
      <c r="I15" s="32">
        <f>IF(H15="",D15*F15,D15*F15*H15)</f>
        <v>4.3333333333333335E-2</v>
      </c>
      <c r="J15" s="58"/>
      <c r="K15" s="58"/>
      <c r="L15" s="58"/>
      <c r="M15" s="58"/>
      <c r="N15" s="58"/>
      <c r="O15" s="68"/>
    </row>
    <row r="16" spans="1:15" x14ac:dyDescent="0.25">
      <c r="A16" s="1005">
        <v>20</v>
      </c>
      <c r="B16" s="1006" t="s">
        <v>347</v>
      </c>
      <c r="C16" s="1006"/>
      <c r="D16" s="1026">
        <v>0.01</v>
      </c>
      <c r="E16" s="1005" t="s">
        <v>40</v>
      </c>
      <c r="F16" s="1005">
        <v>32</v>
      </c>
      <c r="G16" s="1005"/>
      <c r="H16" s="1005">
        <v>1</v>
      </c>
      <c r="I16" s="32">
        <f>F16*D16</f>
        <v>0.32</v>
      </c>
      <c r="J16" s="56"/>
      <c r="K16" s="56"/>
      <c r="L16" s="56"/>
      <c r="M16" s="56"/>
      <c r="N16" s="56"/>
      <c r="O16" s="62"/>
    </row>
    <row r="17" spans="1:15" x14ac:dyDescent="0.25">
      <c r="A17" s="67"/>
      <c r="B17" s="24"/>
      <c r="C17" s="24"/>
      <c r="D17" s="24"/>
      <c r="E17" s="24"/>
      <c r="F17" s="24"/>
      <c r="G17" s="24"/>
      <c r="H17" s="108" t="s">
        <v>18</v>
      </c>
      <c r="I17" s="1003">
        <f>SUM(I15:I16)</f>
        <v>0.36333333333333334</v>
      </c>
      <c r="J17" s="24"/>
      <c r="K17" s="24"/>
      <c r="L17" s="24"/>
      <c r="M17" s="24"/>
      <c r="N17" s="24"/>
      <c r="O17" s="62"/>
    </row>
    <row r="18" spans="1:15" x14ac:dyDescent="0.25">
      <c r="A18" s="63"/>
      <c r="B18" s="56"/>
      <c r="C18" s="56"/>
      <c r="D18" s="56"/>
      <c r="E18" s="56"/>
      <c r="F18" s="56"/>
      <c r="G18" s="56"/>
      <c r="H18" s="56"/>
      <c r="I18" s="57"/>
      <c r="J18" s="56"/>
      <c r="K18" s="56"/>
      <c r="L18" s="56"/>
      <c r="M18" s="56"/>
      <c r="N18" s="56"/>
      <c r="O18" s="62"/>
    </row>
    <row r="19" spans="1:15" ht="15.75" thickBot="1" x14ac:dyDescent="0.3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0005" display="Drawing" xr:uid="{00000000-0004-0000-7700-000000000000}"/>
    <hyperlink ref="B4" location="SU_A1000" display="SU_A1000" xr:uid="{00000000-0004-0000-7700-000001000000}"/>
    <hyperlink ref="G2" location="SU_A1000_BOM" display="Back to BOM" xr:uid="{00000000-0004-0000-77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90" firstPageNumber="0" fitToHeight="99" orientation="landscape" r:id="rId1"/>
  <headerFooter>
    <oddFooter>Page &amp;P</oddFooter>
  </headerFooter>
  <rowBreaks count="2" manualBreakCount="2">
    <brk id="19" max="16383" man="1"/>
    <brk id="53" max="16383" man="1"/>
  </rowBreaks>
  <drawing r:id="rId2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8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124</v>
      </c>
      <c r="B1" s="996" t="s">
        <v>496</v>
      </c>
    </row>
  </sheetData>
  <hyperlinks>
    <hyperlink ref="B1" location="SU_10005" display="SU_10005" xr:uid="{00000000-0004-0000-78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900-000000000000}">
  <sheetPr>
    <tabColor rgb="FFFFFF00"/>
    <pageSetUpPr fitToPage="1"/>
  </sheetPr>
  <dimension ref="A1:S45"/>
  <sheetViews>
    <sheetView zoomScaleNormal="100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25.7109375" customWidth="1"/>
    <col min="3" max="3" width="62.140625" customWidth="1"/>
    <col min="15" max="15" width="5.28515625" customWidth="1"/>
  </cols>
  <sheetData>
    <row r="1" spans="1:15" x14ac:dyDescent="0.25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25">
      <c r="A2" s="1029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87" t="s">
        <v>1</v>
      </c>
      <c r="K2" s="83">
        <v>81</v>
      </c>
      <c r="L2" s="56"/>
      <c r="M2" s="987" t="s">
        <v>2</v>
      </c>
      <c r="N2" s="92">
        <f>E14+I30+J42</f>
        <v>152.31883253564553</v>
      </c>
      <c r="O2" s="264"/>
    </row>
    <row r="3" spans="1:15" x14ac:dyDescent="0.25">
      <c r="A3" s="1029" t="s">
        <v>3</v>
      </c>
      <c r="B3" s="16" t="s">
        <v>429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7" t="s">
        <v>4</v>
      </c>
      <c r="N3" s="82">
        <v>2</v>
      </c>
      <c r="O3" s="264"/>
    </row>
    <row r="4" spans="1:15" x14ac:dyDescent="0.25">
      <c r="A4" s="1029" t="s">
        <v>5</v>
      </c>
      <c r="B4" s="57" t="s">
        <v>517</v>
      </c>
      <c r="C4" s="56"/>
      <c r="D4" s="56"/>
      <c r="E4" s="56"/>
      <c r="F4" s="56"/>
      <c r="G4" s="56"/>
      <c r="H4" s="56"/>
      <c r="I4" s="56"/>
      <c r="J4" s="988" t="s">
        <v>6</v>
      </c>
      <c r="K4" s="56"/>
      <c r="L4" s="56"/>
      <c r="M4" s="56"/>
      <c r="N4" s="56"/>
      <c r="O4" s="264"/>
    </row>
    <row r="5" spans="1:15" x14ac:dyDescent="0.25">
      <c r="A5" s="1029" t="s">
        <v>7</v>
      </c>
      <c r="B5" s="18" t="s">
        <v>518</v>
      </c>
      <c r="C5" s="56"/>
      <c r="D5" s="56"/>
      <c r="E5" s="56"/>
      <c r="F5" s="56"/>
      <c r="G5" s="56"/>
      <c r="H5" s="56"/>
      <c r="I5" s="56"/>
      <c r="J5" s="988" t="s">
        <v>8</v>
      </c>
      <c r="K5" s="56"/>
      <c r="L5" s="56"/>
      <c r="M5" s="987" t="s">
        <v>9</v>
      </c>
      <c r="N5" s="74">
        <f>N2*N3</f>
        <v>304.63766507129105</v>
      </c>
      <c r="O5" s="264"/>
    </row>
    <row r="6" spans="1:15" x14ac:dyDescent="0.25">
      <c r="A6" s="1029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88" t="s">
        <v>12</v>
      </c>
      <c r="K6" s="56"/>
      <c r="L6" s="56"/>
      <c r="M6" s="56"/>
      <c r="N6" s="56"/>
      <c r="O6" s="264"/>
    </row>
    <row r="7" spans="1:15" x14ac:dyDescent="0.25">
      <c r="A7" s="1029" t="s">
        <v>13</v>
      </c>
      <c r="B7" s="16" t="s">
        <v>432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64"/>
    </row>
    <row r="8" spans="1:15" x14ac:dyDescent="0.25">
      <c r="A8" s="705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64"/>
    </row>
    <row r="9" spans="1:15" x14ac:dyDescent="0.25">
      <c r="A9" s="1029" t="s">
        <v>14</v>
      </c>
      <c r="B9" s="987" t="s">
        <v>15</v>
      </c>
      <c r="C9" s="987" t="s">
        <v>16</v>
      </c>
      <c r="D9" s="987" t="s">
        <v>17</v>
      </c>
      <c r="E9" s="987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264"/>
    </row>
    <row r="10" spans="1:15" x14ac:dyDescent="0.25">
      <c r="A10" s="714">
        <v>10</v>
      </c>
      <c r="B10" s="86" t="str">
        <f>'SU 11001'!B5</f>
        <v>Rear Upright</v>
      </c>
      <c r="C10" s="74">
        <f>'SU 11001'!N2</f>
        <v>106.51997000000001</v>
      </c>
      <c r="D10" s="989">
        <f>'SU 11001'!N3</f>
        <v>1</v>
      </c>
      <c r="E10" s="74">
        <f>C10*D10</f>
        <v>106.51997000000001</v>
      </c>
      <c r="F10" s="56"/>
      <c r="G10" s="56"/>
      <c r="H10" s="56"/>
      <c r="I10" s="56"/>
      <c r="J10" s="56"/>
      <c r="K10" s="56"/>
      <c r="L10" s="56"/>
      <c r="M10" s="56"/>
      <c r="N10" s="56"/>
      <c r="O10" s="264"/>
    </row>
    <row r="11" spans="1:15" x14ac:dyDescent="0.25">
      <c r="A11" s="714">
        <v>20</v>
      </c>
      <c r="B11" s="87" t="s">
        <v>434</v>
      </c>
      <c r="C11" s="74">
        <f>'SU 11002'!N2</f>
        <v>21.194420000000001</v>
      </c>
      <c r="D11" s="989">
        <f>'SU 11002'!N3</f>
        <v>1</v>
      </c>
      <c r="E11" s="74">
        <f>C11*D11</f>
        <v>21.194420000000001</v>
      </c>
      <c r="F11" s="57"/>
      <c r="G11" s="57"/>
      <c r="H11" s="57"/>
      <c r="I11" s="57"/>
      <c r="J11" s="57"/>
      <c r="K11" s="57"/>
      <c r="L11" s="57"/>
      <c r="M11" s="57"/>
      <c r="N11" s="57"/>
      <c r="O11" s="712"/>
    </row>
    <row r="12" spans="1:15" s="17" customFormat="1" x14ac:dyDescent="0.25">
      <c r="A12" s="714">
        <v>30</v>
      </c>
      <c r="B12" s="86" t="s">
        <v>435</v>
      </c>
      <c r="C12" s="74">
        <f>'SU 11003'!N2</f>
        <v>0.82576020000000006</v>
      </c>
      <c r="D12" s="989">
        <f>'SU 11003'!N3</f>
        <v>1</v>
      </c>
      <c r="E12" s="74">
        <f>C12*D12</f>
        <v>0.82576020000000006</v>
      </c>
      <c r="F12" s="57"/>
      <c r="G12" s="57"/>
      <c r="H12" s="57"/>
      <c r="I12" s="57"/>
      <c r="J12" s="57"/>
      <c r="K12" s="57"/>
      <c r="L12" s="57"/>
      <c r="M12" s="57"/>
      <c r="N12" s="57"/>
      <c r="O12" s="712"/>
    </row>
    <row r="13" spans="1:15" s="17" customFormat="1" x14ac:dyDescent="0.25">
      <c r="A13" s="714">
        <v>40</v>
      </c>
      <c r="B13" s="86" t="s">
        <v>436</v>
      </c>
      <c r="C13" s="74">
        <f>'SU 11004'!N2</f>
        <v>0.42454853333333331</v>
      </c>
      <c r="D13" s="989">
        <f>'SU 11004'!N3</f>
        <v>15</v>
      </c>
      <c r="E13" s="74">
        <f>C13*D13</f>
        <v>6.3682279999999993</v>
      </c>
      <c r="F13" s="57"/>
      <c r="G13" s="57"/>
      <c r="H13" s="57"/>
      <c r="I13" s="57"/>
      <c r="J13" s="57"/>
      <c r="K13" s="57"/>
      <c r="L13" s="57"/>
      <c r="M13" s="57"/>
      <c r="N13" s="57"/>
      <c r="O13" s="723"/>
    </row>
    <row r="14" spans="1:15" x14ac:dyDescent="0.25">
      <c r="A14" s="705"/>
      <c r="B14" s="56"/>
      <c r="C14" s="56"/>
      <c r="D14" s="98" t="s">
        <v>18</v>
      </c>
      <c r="E14" s="991">
        <f>SUM(E10:E13)</f>
        <v>134.90837819999999</v>
      </c>
      <c r="F14" s="57"/>
      <c r="G14" s="57"/>
      <c r="H14" s="57"/>
      <c r="I14" s="57"/>
      <c r="J14" s="57"/>
      <c r="K14" s="57"/>
      <c r="L14" s="57"/>
      <c r="M14" s="57"/>
      <c r="N14" s="57"/>
      <c r="O14" s="264"/>
    </row>
    <row r="15" spans="1:15" x14ac:dyDescent="0.25">
      <c r="A15" s="705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264"/>
    </row>
    <row r="16" spans="1:15" x14ac:dyDescent="0.25">
      <c r="A16" s="705"/>
      <c r="B16" s="56"/>
      <c r="C16" s="56"/>
      <c r="D16" s="56"/>
      <c r="E16" s="56"/>
      <c r="F16" s="56"/>
      <c r="G16" s="56"/>
      <c r="H16" s="56"/>
      <c r="I16" s="56"/>
      <c r="J16" s="56"/>
      <c r="K16" s="56"/>
      <c r="L16" s="56"/>
      <c r="M16" s="56"/>
      <c r="N16" s="56"/>
      <c r="O16" s="264"/>
    </row>
    <row r="17" spans="1:19" x14ac:dyDescent="0.25">
      <c r="A17" s="1029" t="s">
        <v>14</v>
      </c>
      <c r="B17" s="987" t="s">
        <v>31</v>
      </c>
      <c r="C17" s="987" t="s">
        <v>20</v>
      </c>
      <c r="D17" s="987" t="s">
        <v>21</v>
      </c>
      <c r="E17" s="987" t="s">
        <v>32</v>
      </c>
      <c r="F17" s="987" t="s">
        <v>17</v>
      </c>
      <c r="G17" s="987" t="s">
        <v>33</v>
      </c>
      <c r="H17" s="987" t="s">
        <v>34</v>
      </c>
      <c r="I17" s="987" t="s">
        <v>18</v>
      </c>
      <c r="J17" s="24"/>
      <c r="K17" s="24"/>
      <c r="L17" s="24"/>
      <c r="M17" s="24"/>
      <c r="N17" s="24"/>
      <c r="O17" s="720"/>
    </row>
    <row r="18" spans="1:19" s="22" customFormat="1" ht="30" x14ac:dyDescent="0.25">
      <c r="A18" s="1031">
        <v>10</v>
      </c>
      <c r="B18" s="1006" t="s">
        <v>437</v>
      </c>
      <c r="C18" s="1006" t="s">
        <v>438</v>
      </c>
      <c r="D18" s="1010">
        <v>0.56000000000000005</v>
      </c>
      <c r="E18" s="1005" t="s">
        <v>35</v>
      </c>
      <c r="F18" s="1005">
        <v>1</v>
      </c>
      <c r="G18" s="1005"/>
      <c r="H18" s="1005">
        <v>1</v>
      </c>
      <c r="I18" s="1044">
        <f t="shared" ref="I18:I26" si="0">IF(H18="",D18*F18,D18*F18*H18)</f>
        <v>0.56000000000000005</v>
      </c>
      <c r="J18" s="56"/>
      <c r="K18" s="56"/>
      <c r="L18" s="56"/>
      <c r="M18" s="56"/>
      <c r="N18" s="56"/>
      <c r="O18" s="264"/>
    </row>
    <row r="19" spans="1:19" ht="30" x14ac:dyDescent="0.25">
      <c r="A19" s="1025">
        <v>20</v>
      </c>
      <c r="B19" s="1006" t="s">
        <v>439</v>
      </c>
      <c r="C19" s="1006" t="s">
        <v>441</v>
      </c>
      <c r="D19" s="1007">
        <v>0.13</v>
      </c>
      <c r="E19" s="1005" t="s">
        <v>35</v>
      </c>
      <c r="F19" s="1005">
        <v>1</v>
      </c>
      <c r="G19" s="1005"/>
      <c r="H19" s="1005">
        <v>1</v>
      </c>
      <c r="I19" s="1044">
        <f t="shared" si="0"/>
        <v>0.13</v>
      </c>
      <c r="J19" s="56"/>
      <c r="K19" s="56"/>
      <c r="L19" s="56"/>
      <c r="M19" s="56"/>
      <c r="N19" s="56"/>
      <c r="O19" s="264"/>
    </row>
    <row r="20" spans="1:19" ht="30" x14ac:dyDescent="0.25">
      <c r="A20" s="1025">
        <v>30</v>
      </c>
      <c r="B20" s="1006" t="s">
        <v>439</v>
      </c>
      <c r="C20" s="1006" t="s">
        <v>442</v>
      </c>
      <c r="D20" s="1007">
        <v>0.13</v>
      </c>
      <c r="E20" s="1005" t="s">
        <v>35</v>
      </c>
      <c r="F20" s="1005">
        <v>1</v>
      </c>
      <c r="G20" s="1005"/>
      <c r="H20" s="1005">
        <v>1</v>
      </c>
      <c r="I20" s="1044">
        <f t="shared" si="0"/>
        <v>0.13</v>
      </c>
      <c r="J20" s="57"/>
      <c r="K20" s="57"/>
      <c r="L20" s="57"/>
      <c r="M20" s="57"/>
      <c r="N20" s="57"/>
      <c r="O20" s="723"/>
    </row>
    <row r="21" spans="1:19" s="25" customFormat="1" ht="30" x14ac:dyDescent="0.25">
      <c r="A21" s="1031">
        <v>40</v>
      </c>
      <c r="B21" s="1006" t="s">
        <v>292</v>
      </c>
      <c r="C21" s="1006" t="s">
        <v>497</v>
      </c>
      <c r="D21" s="1007">
        <v>0.75</v>
      </c>
      <c r="E21" s="1005" t="s">
        <v>35</v>
      </c>
      <c r="F21" s="1005">
        <v>3</v>
      </c>
      <c r="G21" s="1005"/>
      <c r="H21" s="1005">
        <v>1</v>
      </c>
      <c r="I21" s="1044">
        <f t="shared" si="0"/>
        <v>2.25</v>
      </c>
      <c r="J21" s="57"/>
      <c r="K21" s="57"/>
      <c r="L21" s="57"/>
      <c r="M21" s="57"/>
      <c r="N21" s="57"/>
      <c r="O21" s="720"/>
    </row>
    <row r="22" spans="1:19" ht="30" x14ac:dyDescent="0.25">
      <c r="A22" s="1025">
        <v>50</v>
      </c>
      <c r="B22" s="1045" t="s">
        <v>444</v>
      </c>
      <c r="C22" s="1006" t="s">
        <v>497</v>
      </c>
      <c r="D22" s="1046">
        <v>0.25</v>
      </c>
      <c r="E22" s="1009" t="s">
        <v>32</v>
      </c>
      <c r="F22" s="1009">
        <v>3</v>
      </c>
      <c r="G22" s="1005"/>
      <c r="H22" s="1005">
        <v>1</v>
      </c>
      <c r="I22" s="1044">
        <f t="shared" si="0"/>
        <v>0.75</v>
      </c>
      <c r="J22" s="57"/>
      <c r="K22" s="57"/>
      <c r="L22" s="57"/>
      <c r="M22" s="57"/>
      <c r="N22" s="57"/>
      <c r="O22" s="720"/>
    </row>
    <row r="23" spans="1:19" ht="30" x14ac:dyDescent="0.25">
      <c r="A23" s="1025">
        <v>60</v>
      </c>
      <c r="B23" s="1006" t="s">
        <v>439</v>
      </c>
      <c r="C23" s="1006" t="s">
        <v>445</v>
      </c>
      <c r="D23" s="1007">
        <v>0.13</v>
      </c>
      <c r="E23" s="1005" t="s">
        <v>446</v>
      </c>
      <c r="F23" s="1005">
        <v>1</v>
      </c>
      <c r="G23" s="1005"/>
      <c r="H23" s="1005">
        <v>1</v>
      </c>
      <c r="I23" s="1044">
        <f t="shared" si="0"/>
        <v>0.13</v>
      </c>
      <c r="J23" s="57"/>
      <c r="K23" s="57"/>
      <c r="L23" s="57"/>
      <c r="M23" s="57"/>
      <c r="N23" s="57"/>
      <c r="O23" s="723"/>
    </row>
    <row r="24" spans="1:19" s="25" customFormat="1" x14ac:dyDescent="0.25">
      <c r="A24" s="1031">
        <v>70</v>
      </c>
      <c r="B24" s="1006" t="s">
        <v>292</v>
      </c>
      <c r="C24" s="1006" t="s">
        <v>498</v>
      </c>
      <c r="D24" s="1007">
        <v>0.75</v>
      </c>
      <c r="E24" s="1005" t="s">
        <v>35</v>
      </c>
      <c r="F24" s="1005">
        <v>1</v>
      </c>
      <c r="G24" s="1005"/>
      <c r="H24" s="1005">
        <v>1</v>
      </c>
      <c r="I24" s="1044">
        <f t="shared" si="0"/>
        <v>0.75</v>
      </c>
      <c r="J24" s="57"/>
      <c r="K24" s="57"/>
      <c r="L24" s="57"/>
      <c r="M24" s="57"/>
      <c r="N24" s="57"/>
      <c r="O24" s="720"/>
    </row>
    <row r="25" spans="1:19" x14ac:dyDescent="0.25">
      <c r="A25" s="1025">
        <v>80</v>
      </c>
      <c r="B25" s="1045" t="s">
        <v>444</v>
      </c>
      <c r="C25" s="1006" t="s">
        <v>498</v>
      </c>
      <c r="D25" s="1046">
        <v>0.25</v>
      </c>
      <c r="E25" s="1009" t="s">
        <v>32</v>
      </c>
      <c r="F25" s="1009">
        <v>1</v>
      </c>
      <c r="G25" s="1005"/>
      <c r="H25" s="1005">
        <v>1</v>
      </c>
      <c r="I25" s="1044">
        <f t="shared" si="0"/>
        <v>0.25</v>
      </c>
      <c r="J25" s="57"/>
      <c r="K25" s="57"/>
      <c r="L25" s="57"/>
      <c r="M25" s="57"/>
      <c r="N25" s="57"/>
      <c r="O25" s="720"/>
    </row>
    <row r="26" spans="1:19" ht="30" x14ac:dyDescent="0.25">
      <c r="A26" s="1031">
        <v>90</v>
      </c>
      <c r="B26" s="1006" t="s">
        <v>447</v>
      </c>
      <c r="C26" s="1006" t="s">
        <v>448</v>
      </c>
      <c r="D26" s="1010">
        <v>0.63</v>
      </c>
      <c r="E26" s="1005" t="s">
        <v>35</v>
      </c>
      <c r="F26" s="1005">
        <v>1</v>
      </c>
      <c r="G26" s="1005"/>
      <c r="H26" s="1005">
        <v>1</v>
      </c>
      <c r="I26" s="1044">
        <f t="shared" si="0"/>
        <v>0.63</v>
      </c>
      <c r="J26" s="56"/>
      <c r="K26" s="56"/>
      <c r="L26" s="56"/>
      <c r="M26" s="56"/>
      <c r="N26" s="56"/>
      <c r="O26" s="264"/>
    </row>
    <row r="27" spans="1:19" s="17" customFormat="1" x14ac:dyDescent="0.25">
      <c r="A27" s="1025">
        <v>100</v>
      </c>
      <c r="B27" s="1006" t="s">
        <v>292</v>
      </c>
      <c r="C27" s="1006" t="s">
        <v>560</v>
      </c>
      <c r="D27" s="1007">
        <v>0.75</v>
      </c>
      <c r="E27" s="1005" t="s">
        <v>32</v>
      </c>
      <c r="F27" s="1005">
        <v>2</v>
      </c>
      <c r="G27" s="1005"/>
      <c r="H27" s="1005">
        <v>1</v>
      </c>
      <c r="I27" s="1007">
        <f t="shared" ref="I27" si="1">D27*F27*H27</f>
        <v>1.5</v>
      </c>
      <c r="J27" s="632"/>
      <c r="K27" s="632"/>
      <c r="L27" s="632"/>
      <c r="M27" s="632"/>
      <c r="N27" s="632"/>
      <c r="O27" s="1032"/>
      <c r="P27" s="632"/>
      <c r="Q27" s="632"/>
      <c r="R27" s="632"/>
      <c r="S27" s="632"/>
    </row>
    <row r="28" spans="1:19" s="25" customFormat="1" x14ac:dyDescent="0.25">
      <c r="A28" s="1025">
        <v>110</v>
      </c>
      <c r="B28" s="1006" t="s">
        <v>444</v>
      </c>
      <c r="C28" s="1006" t="s">
        <v>560</v>
      </c>
      <c r="D28" s="1007">
        <v>0.25</v>
      </c>
      <c r="E28" s="1005" t="s">
        <v>32</v>
      </c>
      <c r="F28" s="1005">
        <v>2</v>
      </c>
      <c r="G28" s="1005"/>
      <c r="H28" s="1005">
        <v>1</v>
      </c>
      <c r="I28" s="1007">
        <f>D28*F28*H28</f>
        <v>0.5</v>
      </c>
      <c r="J28" s="632"/>
      <c r="K28" s="632"/>
      <c r="L28" s="632"/>
      <c r="M28" s="632"/>
      <c r="N28" s="632"/>
      <c r="O28" s="1032"/>
      <c r="P28" s="632"/>
      <c r="Q28" s="632"/>
      <c r="R28" s="632"/>
      <c r="S28" s="632"/>
    </row>
    <row r="29" spans="1:19" s="17" customFormat="1" ht="45" x14ac:dyDescent="0.25">
      <c r="A29" s="1025">
        <v>120</v>
      </c>
      <c r="B29" s="276" t="s">
        <v>450</v>
      </c>
      <c r="C29" s="1005" t="s">
        <v>451</v>
      </c>
      <c r="D29" s="1011">
        <v>8.75</v>
      </c>
      <c r="E29" s="1005" t="s">
        <v>32</v>
      </c>
      <c r="F29" s="1005">
        <v>1</v>
      </c>
      <c r="G29" s="1005"/>
      <c r="H29" s="1005">
        <v>1</v>
      </c>
      <c r="I29" s="1011">
        <f>D29*F29*H29</f>
        <v>8.75</v>
      </c>
      <c r="J29" s="632"/>
      <c r="K29" s="632"/>
      <c r="L29" s="632"/>
      <c r="M29" s="632"/>
      <c r="N29" s="632"/>
      <c r="O29" s="1032"/>
      <c r="P29" s="632"/>
      <c r="Q29" s="632"/>
      <c r="R29" s="632"/>
      <c r="S29" s="632"/>
    </row>
    <row r="30" spans="1:19" x14ac:dyDescent="0.25">
      <c r="A30" s="719"/>
      <c r="B30" s="24"/>
      <c r="C30" s="24"/>
      <c r="D30" s="24"/>
      <c r="E30" s="24"/>
      <c r="F30" s="24"/>
      <c r="G30" s="24"/>
      <c r="H30" s="98" t="s">
        <v>18</v>
      </c>
      <c r="I30" s="991">
        <f>SUM(I18:I29)</f>
        <v>16.329999999999998</v>
      </c>
      <c r="J30" s="56"/>
      <c r="K30" s="56"/>
      <c r="L30" s="56"/>
      <c r="M30" s="56"/>
      <c r="N30" s="56"/>
      <c r="O30" s="264"/>
      <c r="P30" s="17"/>
      <c r="Q30" s="17"/>
      <c r="R30" s="17"/>
      <c r="S30" s="17"/>
    </row>
    <row r="31" spans="1:19" x14ac:dyDescent="0.25">
      <c r="A31" s="705"/>
      <c r="B31" s="56"/>
      <c r="C31" s="56"/>
      <c r="D31" s="56"/>
      <c r="E31" s="56"/>
      <c r="F31" s="56"/>
      <c r="G31" s="56"/>
      <c r="H31" s="56"/>
      <c r="I31" s="56"/>
      <c r="J31" s="56"/>
      <c r="K31" s="56"/>
      <c r="L31" s="56"/>
      <c r="M31" s="56"/>
      <c r="N31" s="56"/>
      <c r="O31" s="264"/>
      <c r="P31" s="25"/>
      <c r="Q31" s="25"/>
      <c r="R31" s="25"/>
      <c r="S31" s="25"/>
    </row>
    <row r="32" spans="1:19" x14ac:dyDescent="0.25">
      <c r="A32" s="1029" t="s">
        <v>14</v>
      </c>
      <c r="B32" s="987" t="s">
        <v>36</v>
      </c>
      <c r="C32" s="987" t="s">
        <v>20</v>
      </c>
      <c r="D32" s="987" t="s">
        <v>21</v>
      </c>
      <c r="E32" s="987" t="s">
        <v>22</v>
      </c>
      <c r="F32" s="987" t="s">
        <v>23</v>
      </c>
      <c r="G32" s="987" t="s">
        <v>24</v>
      </c>
      <c r="H32" s="987" t="s">
        <v>25</v>
      </c>
      <c r="I32" s="987" t="s">
        <v>17</v>
      </c>
      <c r="J32" s="987" t="s">
        <v>18</v>
      </c>
      <c r="K32" s="56"/>
      <c r="L32" s="56"/>
      <c r="M32" s="56"/>
      <c r="N32" s="56"/>
      <c r="O32" s="264"/>
      <c r="P32" s="17"/>
      <c r="Q32" s="17"/>
      <c r="R32" s="17"/>
      <c r="S32" s="17"/>
    </row>
    <row r="33" spans="1:15" x14ac:dyDescent="0.25">
      <c r="A33" s="1025">
        <v>10</v>
      </c>
      <c r="B33" s="766" t="s">
        <v>557</v>
      </c>
      <c r="C33" s="656" t="s">
        <v>558</v>
      </c>
      <c r="D33" s="1175">
        <f>0.8/105154*E33^2*G33*SQRT(G33)+(0.003*EXP(0.319*E33))</f>
        <v>8.9628250610286439E-2</v>
      </c>
      <c r="E33" s="994">
        <v>6</v>
      </c>
      <c r="F33" s="1041" t="s">
        <v>30</v>
      </c>
      <c r="G33" s="994">
        <v>40</v>
      </c>
      <c r="H33" s="656" t="s">
        <v>30</v>
      </c>
      <c r="I33" s="1042">
        <v>3</v>
      </c>
      <c r="J33" s="1007">
        <f>D33*I33</f>
        <v>0.2688847518308593</v>
      </c>
      <c r="K33" s="56"/>
      <c r="L33" s="56"/>
      <c r="M33" s="56"/>
      <c r="N33" s="56"/>
      <c r="O33" s="264"/>
    </row>
    <row r="34" spans="1:15" x14ac:dyDescent="0.25">
      <c r="A34" s="994">
        <v>20</v>
      </c>
      <c r="B34" s="1176" t="s">
        <v>298</v>
      </c>
      <c r="C34" s="656" t="s">
        <v>558</v>
      </c>
      <c r="D34" s="1175">
        <f>(0.009*EXP(0.2*E34))</f>
        <v>2.9881052304628931E-2</v>
      </c>
      <c r="E34" s="994">
        <v>6</v>
      </c>
      <c r="F34" s="1041" t="s">
        <v>30</v>
      </c>
      <c r="G34" s="994"/>
      <c r="H34" s="656"/>
      <c r="I34" s="1042">
        <v>3</v>
      </c>
      <c r="J34" s="272">
        <f t="shared" ref="J34:J35" si="2">D34*I34</f>
        <v>8.9643156913886801E-2</v>
      </c>
      <c r="K34" s="56"/>
      <c r="L34" s="56"/>
      <c r="M34" s="56"/>
      <c r="N34" s="56"/>
      <c r="O34" s="264"/>
    </row>
    <row r="35" spans="1:15" x14ac:dyDescent="0.25">
      <c r="A35" s="994">
        <v>30</v>
      </c>
      <c r="B35" s="1176" t="s">
        <v>297</v>
      </c>
      <c r="C35" s="656" t="s">
        <v>558</v>
      </c>
      <c r="D35" s="1175">
        <f>0.01</f>
        <v>0.01</v>
      </c>
      <c r="E35" s="994"/>
      <c r="F35" s="1041" t="s">
        <v>30</v>
      </c>
      <c r="G35" s="994"/>
      <c r="H35" s="656"/>
      <c r="I35" s="1042">
        <v>6</v>
      </c>
      <c r="J35" s="272">
        <f t="shared" si="2"/>
        <v>0.06</v>
      </c>
      <c r="K35" s="56"/>
      <c r="L35" s="56"/>
      <c r="M35" s="56"/>
      <c r="N35" s="56"/>
      <c r="O35" s="264"/>
    </row>
    <row r="36" spans="1:15" x14ac:dyDescent="0.25">
      <c r="A36" s="1025">
        <v>40</v>
      </c>
      <c r="B36" s="766" t="s">
        <v>557</v>
      </c>
      <c r="C36" s="656" t="s">
        <v>559</v>
      </c>
      <c r="D36" s="1175">
        <f>0.8/105154*E36^2*G36*SQRT(G36)+(0.003*EXP(0.319*E36))</f>
        <v>1.8537324430816272E-2</v>
      </c>
      <c r="E36" s="994">
        <v>4</v>
      </c>
      <c r="F36" s="1041" t="s">
        <v>30</v>
      </c>
      <c r="G36" s="994">
        <v>16</v>
      </c>
      <c r="H36" s="656" t="s">
        <v>30</v>
      </c>
      <c r="I36" s="1042">
        <v>1</v>
      </c>
      <c r="J36" s="1007">
        <f>D36*I36</f>
        <v>1.8537324430816272E-2</v>
      </c>
      <c r="K36" s="56"/>
      <c r="L36" s="56"/>
      <c r="M36" s="56"/>
      <c r="N36" s="56"/>
      <c r="O36" s="264"/>
    </row>
    <row r="37" spans="1:15" x14ac:dyDescent="0.25">
      <c r="A37" s="994">
        <v>50</v>
      </c>
      <c r="B37" s="1176" t="s">
        <v>298</v>
      </c>
      <c r="C37" s="656" t="s">
        <v>559</v>
      </c>
      <c r="D37" s="1175">
        <f>(0.009*EXP(0.2*E37))</f>
        <v>2.0029868356432209E-2</v>
      </c>
      <c r="E37" s="994">
        <v>4</v>
      </c>
      <c r="F37" s="1041" t="s">
        <v>30</v>
      </c>
      <c r="G37" s="994"/>
      <c r="H37" s="656"/>
      <c r="I37" s="1042">
        <v>1</v>
      </c>
      <c r="J37" s="272">
        <f t="shared" ref="J37:J38" si="3">D37*I37</f>
        <v>2.0029868356432209E-2</v>
      </c>
      <c r="K37" s="56"/>
      <c r="L37" s="56"/>
      <c r="M37" s="56"/>
      <c r="N37" s="56"/>
      <c r="O37" s="264"/>
    </row>
    <row r="38" spans="1:15" x14ac:dyDescent="0.25">
      <c r="A38" s="994">
        <v>60</v>
      </c>
      <c r="B38" s="1176" t="s">
        <v>297</v>
      </c>
      <c r="C38" s="656" t="s">
        <v>559</v>
      </c>
      <c r="D38" s="1175">
        <f>0.01</f>
        <v>0.01</v>
      </c>
      <c r="E38" s="994"/>
      <c r="F38" s="1041" t="s">
        <v>30</v>
      </c>
      <c r="G38" s="994"/>
      <c r="H38" s="656"/>
      <c r="I38" s="1042">
        <v>2</v>
      </c>
      <c r="J38" s="272">
        <f t="shared" si="3"/>
        <v>0.02</v>
      </c>
      <c r="K38" s="56"/>
      <c r="L38" s="56"/>
      <c r="M38" s="56"/>
      <c r="N38" s="56"/>
      <c r="O38" s="264"/>
    </row>
    <row r="39" spans="1:15" x14ac:dyDescent="0.25">
      <c r="A39" s="1025">
        <v>70</v>
      </c>
      <c r="B39" s="766" t="s">
        <v>557</v>
      </c>
      <c r="C39" s="656" t="s">
        <v>558</v>
      </c>
      <c r="D39" s="1175">
        <f>0.8/105154*E39^2*G39*SQRT(G39)+(0.003*EXP(0.319*E39))</f>
        <v>0.23710232523720945</v>
      </c>
      <c r="E39" s="994">
        <v>8</v>
      </c>
      <c r="F39" s="1041" t="s">
        <v>30</v>
      </c>
      <c r="G39" s="994">
        <v>55</v>
      </c>
      <c r="H39" s="656" t="s">
        <v>30</v>
      </c>
      <c r="I39" s="1042">
        <v>2</v>
      </c>
      <c r="J39" s="1007">
        <f>D39*I39</f>
        <v>0.4742046504744189</v>
      </c>
      <c r="K39" s="56"/>
      <c r="L39" s="56"/>
      <c r="M39" s="56"/>
      <c r="N39" s="56"/>
      <c r="O39" s="264"/>
    </row>
    <row r="40" spans="1:15" x14ac:dyDescent="0.25">
      <c r="A40" s="994">
        <v>80</v>
      </c>
      <c r="B40" s="1176" t="s">
        <v>298</v>
      </c>
      <c r="C40" s="656" t="s">
        <v>558</v>
      </c>
      <c r="D40" s="1175">
        <f>(0.009*EXP(0.2*E40))</f>
        <v>4.4577291819556032E-2</v>
      </c>
      <c r="E40" s="994">
        <v>8</v>
      </c>
      <c r="F40" s="1041" t="s">
        <v>30</v>
      </c>
      <c r="G40" s="994"/>
      <c r="H40" s="656"/>
      <c r="I40" s="1042">
        <v>2</v>
      </c>
      <c r="J40" s="272">
        <f t="shared" ref="J40:J41" si="4">D40*I40</f>
        <v>8.9154583639112064E-2</v>
      </c>
      <c r="K40" s="56"/>
      <c r="L40" s="56"/>
      <c r="M40" s="56"/>
      <c r="N40" s="56"/>
      <c r="O40" s="264"/>
    </row>
    <row r="41" spans="1:15" x14ac:dyDescent="0.25">
      <c r="A41" s="994">
        <v>90</v>
      </c>
      <c r="B41" s="1176" t="s">
        <v>297</v>
      </c>
      <c r="C41" s="656" t="s">
        <v>558</v>
      </c>
      <c r="D41" s="1175">
        <f>0.01</f>
        <v>0.01</v>
      </c>
      <c r="E41" s="994"/>
      <c r="F41" s="1041" t="s">
        <v>30</v>
      </c>
      <c r="G41" s="994"/>
      <c r="H41" s="656"/>
      <c r="I41" s="1042">
        <v>4</v>
      </c>
      <c r="J41" s="272">
        <f t="shared" si="4"/>
        <v>0.04</v>
      </c>
      <c r="K41" s="56"/>
      <c r="L41" s="56"/>
      <c r="M41" s="56"/>
      <c r="N41" s="56"/>
      <c r="O41" s="264"/>
    </row>
    <row r="42" spans="1:15" x14ac:dyDescent="0.25">
      <c r="A42" s="719"/>
      <c r="B42" s="24"/>
      <c r="C42" s="24"/>
      <c r="D42" s="24"/>
      <c r="E42" s="24"/>
      <c r="F42" s="24"/>
      <c r="G42" s="24"/>
      <c r="H42" s="24"/>
      <c r="I42" s="98" t="s">
        <v>18</v>
      </c>
      <c r="J42" s="991">
        <f>SUM(J33:J41)</f>
        <v>1.0804543356455256</v>
      </c>
      <c r="K42" s="56"/>
      <c r="L42" s="56"/>
      <c r="M42" s="56"/>
      <c r="N42" s="56"/>
      <c r="O42" s="264"/>
    </row>
    <row r="43" spans="1:15" x14ac:dyDescent="0.25">
      <c r="A43" s="705"/>
      <c r="B43" s="56"/>
      <c r="C43" s="56"/>
      <c r="D43" s="56"/>
      <c r="E43" s="56"/>
      <c r="F43" s="56"/>
      <c r="G43" s="56"/>
      <c r="H43" s="56"/>
      <c r="I43" s="56"/>
      <c r="J43" s="24"/>
      <c r="K43" s="56"/>
      <c r="L43" s="56"/>
      <c r="M43" s="56"/>
      <c r="N43" s="56"/>
      <c r="O43" s="264"/>
    </row>
    <row r="44" spans="1:15" ht="15.75" thickBot="1" x14ac:dyDescent="0.3">
      <c r="A44" s="284"/>
      <c r="B44" s="285"/>
      <c r="C44" s="285"/>
      <c r="D44" s="285"/>
      <c r="E44" s="285"/>
      <c r="F44" s="285"/>
      <c r="G44" s="285"/>
      <c r="H44" s="285"/>
      <c r="I44" s="285"/>
      <c r="J44" s="285"/>
      <c r="K44" s="285"/>
      <c r="L44" s="285"/>
      <c r="M44" s="285"/>
      <c r="N44" s="285"/>
      <c r="O44" s="286"/>
    </row>
    <row r="45" spans="1:15" x14ac:dyDescent="0.25">
      <c r="A45" s="56"/>
      <c r="B45" s="56"/>
      <c r="C45" s="56"/>
      <c r="D45" s="56"/>
      <c r="E45" s="56"/>
      <c r="F45" s="56"/>
      <c r="G45" s="56"/>
      <c r="H45" s="56"/>
      <c r="I45" s="56"/>
      <c r="J45" s="56"/>
      <c r="K45" s="56"/>
      <c r="L45" s="56"/>
      <c r="M45" s="56"/>
      <c r="N45" s="56"/>
    </row>
  </sheetData>
  <hyperlinks>
    <hyperlink ref="B10" location="SU_11001" display="SU_11001" xr:uid="{00000000-0004-0000-7900-000000000000}"/>
    <hyperlink ref="B12" location="SU_11003" display="Speed Sensor Brakcet" xr:uid="{00000000-0004-0000-7900-000001000000}"/>
    <hyperlink ref="B13" location="SU_11004" display="Camber adjustment shim" xr:uid="{00000000-0004-0000-7900-000002000000}"/>
    <hyperlink ref="B11" location="SU_11002" display="Upper Arm Bracket" xr:uid="{00000000-0004-0000-7900-000003000000}"/>
    <hyperlink ref="E2" location="SU_A1100_BOM" display="Back to BOM" xr:uid="{00000000-0004-0000-7900-000004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9" firstPageNumber="0" fitToHeight="99" orientation="landscape" r:id="rId1"/>
  <headerFooter>
    <oddFooter>Page &amp;P</oddFooter>
  </headerFooter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A00-000000000000}">
  <sheetPr>
    <tabColor rgb="FFFFFF66"/>
    <pageSetUpPr fitToPage="1"/>
  </sheetPr>
  <dimension ref="A1:O34"/>
  <sheetViews>
    <sheetView topLeftCell="A8" zoomScaleNormal="10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19.5703125" customWidth="1"/>
    <col min="3" max="3" width="20.28515625" customWidth="1"/>
    <col min="7" max="7" width="18.28515625" customWidth="1"/>
    <col min="9" max="9" width="9" customWidth="1"/>
    <col min="14" max="14" width="12.5703125" bestFit="1" customWidth="1"/>
    <col min="15" max="15" width="3.140625" customWidth="1"/>
  </cols>
  <sheetData>
    <row r="1" spans="1:15" x14ac:dyDescent="0.25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25">
      <c r="A2" s="1015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5" t="s">
        <v>16</v>
      </c>
      <c r="N2" s="74">
        <f>SU_11001_m+SU_11001_p</f>
        <v>106.51997000000001</v>
      </c>
      <c r="O2" s="264"/>
    </row>
    <row r="3" spans="1:15" x14ac:dyDescent="0.25">
      <c r="A3" s="1015" t="s">
        <v>3</v>
      </c>
      <c r="B3" s="16" t="str">
        <f>'SU A1100 '!B3</f>
        <v>Wheels &amp; Tires</v>
      </c>
      <c r="C3" s="56"/>
      <c r="D3" s="995" t="s">
        <v>6</v>
      </c>
      <c r="E3" s="87" t="s">
        <v>60</v>
      </c>
      <c r="F3" s="56"/>
      <c r="G3" s="56"/>
      <c r="H3" s="56"/>
      <c r="I3" s="56"/>
      <c r="J3" s="56"/>
      <c r="K3" s="56"/>
      <c r="L3" s="56"/>
      <c r="M3" s="995" t="s">
        <v>4</v>
      </c>
      <c r="N3" s="82">
        <v>1</v>
      </c>
      <c r="O3" s="264"/>
    </row>
    <row r="4" spans="1:15" x14ac:dyDescent="0.25">
      <c r="A4" s="1015" t="s">
        <v>5</v>
      </c>
      <c r="B4" s="271" t="str">
        <f>'SU A1100 '!B4</f>
        <v>Rear Uprights</v>
      </c>
      <c r="C4" s="56"/>
      <c r="D4" s="995" t="s">
        <v>8</v>
      </c>
      <c r="E4" s="56"/>
      <c r="F4" s="56"/>
      <c r="G4" s="56"/>
      <c r="H4" s="56"/>
      <c r="I4" s="56"/>
      <c r="J4" s="997" t="s">
        <v>6</v>
      </c>
      <c r="K4" s="56"/>
      <c r="L4" s="56"/>
      <c r="M4" s="56"/>
      <c r="N4" s="56"/>
      <c r="O4" s="264"/>
    </row>
    <row r="5" spans="1:15" x14ac:dyDescent="0.25">
      <c r="A5" s="1015" t="s">
        <v>15</v>
      </c>
      <c r="B5" s="18" t="s">
        <v>499</v>
      </c>
      <c r="C5" s="56"/>
      <c r="D5" s="995" t="s">
        <v>12</v>
      </c>
      <c r="E5" s="56"/>
      <c r="F5" s="56"/>
      <c r="G5" s="56"/>
      <c r="H5" s="56"/>
      <c r="I5" s="56"/>
      <c r="J5" s="997" t="s">
        <v>8</v>
      </c>
      <c r="K5" s="56"/>
      <c r="L5" s="56"/>
      <c r="M5" s="995" t="s">
        <v>9</v>
      </c>
      <c r="N5" s="74">
        <f>N3*N2</f>
        <v>106.51997000000001</v>
      </c>
      <c r="O5" s="264"/>
    </row>
    <row r="6" spans="1:15" x14ac:dyDescent="0.25">
      <c r="A6" s="1015" t="s">
        <v>7</v>
      </c>
      <c r="B6" s="28" t="s">
        <v>500</v>
      </c>
      <c r="C6" s="56"/>
      <c r="D6" s="56"/>
      <c r="E6" s="56"/>
      <c r="F6" s="56"/>
      <c r="G6" s="56"/>
      <c r="H6" s="56"/>
      <c r="I6" s="56"/>
      <c r="J6" s="997" t="s">
        <v>12</v>
      </c>
      <c r="K6" s="56"/>
      <c r="L6" s="56"/>
      <c r="M6" s="56"/>
      <c r="N6" s="56"/>
      <c r="O6" s="264"/>
    </row>
    <row r="7" spans="1:15" x14ac:dyDescent="0.25">
      <c r="A7" s="1015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64"/>
    </row>
    <row r="8" spans="1:15" x14ac:dyDescent="0.25">
      <c r="A8" s="1015" t="s">
        <v>13</v>
      </c>
      <c r="B8" s="16" t="s">
        <v>454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64"/>
    </row>
    <row r="9" spans="1:15" x14ac:dyDescent="0.25">
      <c r="A9" s="1016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64"/>
    </row>
    <row r="10" spans="1:15" x14ac:dyDescent="0.25">
      <c r="A10" s="1017" t="s">
        <v>14</v>
      </c>
      <c r="B10" s="999" t="s">
        <v>19</v>
      </c>
      <c r="C10" s="999" t="s">
        <v>20</v>
      </c>
      <c r="D10" s="999" t="s">
        <v>21</v>
      </c>
      <c r="E10" s="999" t="s">
        <v>22</v>
      </c>
      <c r="F10" s="1000" t="s">
        <v>23</v>
      </c>
      <c r="G10" s="1000" t="s">
        <v>24</v>
      </c>
      <c r="H10" s="1000" t="s">
        <v>25</v>
      </c>
      <c r="I10" s="1000" t="s">
        <v>26</v>
      </c>
      <c r="J10" s="1000" t="s">
        <v>27</v>
      </c>
      <c r="K10" s="1000" t="s">
        <v>28</v>
      </c>
      <c r="L10" s="1000" t="s">
        <v>29</v>
      </c>
      <c r="M10" s="1000" t="s">
        <v>17</v>
      </c>
      <c r="N10" s="1000" t="s">
        <v>18</v>
      </c>
      <c r="O10" s="264"/>
    </row>
    <row r="11" spans="1:15" s="22" customFormat="1" x14ac:dyDescent="0.25">
      <c r="A11" s="1018">
        <v>10</v>
      </c>
      <c r="B11" s="665" t="s">
        <v>455</v>
      </c>
      <c r="C11" s="20"/>
      <c r="D11" s="277">
        <v>4.2</v>
      </c>
      <c r="E11" s="1001">
        <f>J11*K11*L11</f>
        <v>6.1528499999999999</v>
      </c>
      <c r="F11" s="20" t="s">
        <v>141</v>
      </c>
      <c r="G11" s="20"/>
      <c r="H11" s="278"/>
      <c r="I11" s="21" t="s">
        <v>456</v>
      </c>
      <c r="J11" s="1002">
        <f>(165*275*10^-6)</f>
        <v>4.5374999999999999E-2</v>
      </c>
      <c r="K11" s="668">
        <v>0.05</v>
      </c>
      <c r="L11" s="669">
        <v>2712</v>
      </c>
      <c r="M11" s="23">
        <v>1</v>
      </c>
      <c r="N11" s="277">
        <f>D11*E11</f>
        <v>25.84197</v>
      </c>
      <c r="O11" s="718"/>
    </row>
    <row r="12" spans="1:15" x14ac:dyDescent="0.25">
      <c r="A12" s="719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03">
        <f>N11*M11</f>
        <v>25.84197</v>
      </c>
      <c r="O12" s="264"/>
    </row>
    <row r="13" spans="1:15" x14ac:dyDescent="0.25">
      <c r="A13" s="705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64"/>
    </row>
    <row r="14" spans="1:15" x14ac:dyDescent="0.25">
      <c r="A14" s="1019" t="s">
        <v>14</v>
      </c>
      <c r="B14" s="1000" t="s">
        <v>31</v>
      </c>
      <c r="C14" s="1000" t="s">
        <v>20</v>
      </c>
      <c r="D14" s="1000" t="s">
        <v>21</v>
      </c>
      <c r="E14" s="1000" t="s">
        <v>32</v>
      </c>
      <c r="F14" s="1000" t="s">
        <v>17</v>
      </c>
      <c r="G14" s="1000" t="s">
        <v>33</v>
      </c>
      <c r="H14" s="1000" t="s">
        <v>34</v>
      </c>
      <c r="I14" s="1000" t="s">
        <v>18</v>
      </c>
      <c r="J14" s="24"/>
      <c r="K14" s="24"/>
      <c r="L14" s="24"/>
      <c r="M14" s="24"/>
      <c r="N14" s="24"/>
      <c r="O14" s="264"/>
    </row>
    <row r="15" spans="1:15" s="25" customFormat="1" ht="30" x14ac:dyDescent="0.25">
      <c r="A15" s="1025">
        <v>10</v>
      </c>
      <c r="B15" s="1006" t="s">
        <v>457</v>
      </c>
      <c r="C15" s="1006" t="s">
        <v>458</v>
      </c>
      <c r="D15" s="1026">
        <v>1.3</v>
      </c>
      <c r="E15" s="1005" t="s">
        <v>32</v>
      </c>
      <c r="F15" s="1005">
        <v>1</v>
      </c>
      <c r="G15" s="1005"/>
      <c r="H15" s="1005">
        <v>1</v>
      </c>
      <c r="I15" s="32">
        <f t="shared" ref="I15:I27" si="0">IF(H15="",D15*F15,D15*F15*H15)</f>
        <v>1.3</v>
      </c>
      <c r="J15" s="58"/>
      <c r="K15" s="58"/>
      <c r="L15" s="58"/>
      <c r="M15" s="58"/>
      <c r="N15" s="58"/>
      <c r="O15" s="720"/>
    </row>
    <row r="16" spans="1:15" ht="30" x14ac:dyDescent="0.25">
      <c r="A16" s="1025">
        <v>20</v>
      </c>
      <c r="B16" s="1006" t="s">
        <v>92</v>
      </c>
      <c r="C16" s="1006" t="s">
        <v>501</v>
      </c>
      <c r="D16" s="1026">
        <v>0.04</v>
      </c>
      <c r="E16" s="1005" t="s">
        <v>93</v>
      </c>
      <c r="F16" s="1005">
        <v>350</v>
      </c>
      <c r="G16" s="1005" t="s">
        <v>193</v>
      </c>
      <c r="H16" s="1005">
        <v>1</v>
      </c>
      <c r="I16" s="32">
        <f t="shared" si="0"/>
        <v>14</v>
      </c>
      <c r="J16" s="56"/>
      <c r="K16" s="56"/>
      <c r="L16" s="56"/>
      <c r="M16" s="56"/>
      <c r="N16" s="56"/>
      <c r="O16" s="264"/>
    </row>
    <row r="17" spans="1:15" s="17" customFormat="1" ht="30" x14ac:dyDescent="0.25">
      <c r="A17" s="1025">
        <v>30</v>
      </c>
      <c r="B17" s="1006" t="s">
        <v>91</v>
      </c>
      <c r="C17" s="1006" t="s">
        <v>460</v>
      </c>
      <c r="D17" s="1026">
        <v>0.65</v>
      </c>
      <c r="E17" s="1005" t="s">
        <v>32</v>
      </c>
      <c r="F17" s="1005">
        <v>1</v>
      </c>
      <c r="G17" s="1005"/>
      <c r="H17" s="1005">
        <v>1</v>
      </c>
      <c r="I17" s="32">
        <f t="shared" si="0"/>
        <v>0.65</v>
      </c>
      <c r="J17" s="57"/>
      <c r="K17" s="57"/>
      <c r="L17" s="57"/>
      <c r="M17" s="57"/>
      <c r="N17" s="57"/>
      <c r="O17" s="723"/>
    </row>
    <row r="18" spans="1:15" s="17" customFormat="1" ht="30" x14ac:dyDescent="0.25">
      <c r="A18" s="1025">
        <v>40</v>
      </c>
      <c r="B18" s="1006" t="s">
        <v>92</v>
      </c>
      <c r="C18" s="1006" t="s">
        <v>502</v>
      </c>
      <c r="D18" s="1026">
        <v>0.04</v>
      </c>
      <c r="E18" s="1005" t="s">
        <v>93</v>
      </c>
      <c r="F18" s="1005">
        <v>1285</v>
      </c>
      <c r="G18" s="1005" t="s">
        <v>193</v>
      </c>
      <c r="H18" s="1005">
        <v>1</v>
      </c>
      <c r="I18" s="32">
        <f t="shared" si="0"/>
        <v>51.4</v>
      </c>
      <c r="J18" s="57"/>
      <c r="K18" s="57"/>
      <c r="L18" s="57"/>
      <c r="M18" s="57"/>
      <c r="N18" s="57"/>
      <c r="O18" s="723"/>
    </row>
    <row r="19" spans="1:15" s="17" customFormat="1" ht="30" x14ac:dyDescent="0.25">
      <c r="A19" s="1025">
        <v>50</v>
      </c>
      <c r="B19" s="1006" t="s">
        <v>91</v>
      </c>
      <c r="C19" s="1006"/>
      <c r="D19" s="1026">
        <v>0.65</v>
      </c>
      <c r="E19" s="1005" t="s">
        <v>32</v>
      </c>
      <c r="F19" s="1005">
        <v>1</v>
      </c>
      <c r="G19" s="1005"/>
      <c r="H19" s="1005">
        <v>1</v>
      </c>
      <c r="I19" s="32">
        <f t="shared" si="0"/>
        <v>0.65</v>
      </c>
      <c r="J19" s="57"/>
      <c r="K19" s="57"/>
      <c r="L19" s="57"/>
      <c r="M19" s="57"/>
      <c r="N19" s="57"/>
      <c r="O19" s="723"/>
    </row>
    <row r="20" spans="1:15" s="17" customFormat="1" ht="30" x14ac:dyDescent="0.25">
      <c r="A20" s="1025">
        <v>60</v>
      </c>
      <c r="B20" s="1006" t="s">
        <v>92</v>
      </c>
      <c r="C20" s="1006" t="s">
        <v>503</v>
      </c>
      <c r="D20" s="1026">
        <v>0.04</v>
      </c>
      <c r="E20" s="1005" t="s">
        <v>93</v>
      </c>
      <c r="F20" s="1005">
        <v>227</v>
      </c>
      <c r="G20" s="1005" t="s">
        <v>193</v>
      </c>
      <c r="H20" s="1005">
        <v>1</v>
      </c>
      <c r="I20" s="32">
        <f t="shared" si="0"/>
        <v>9.08</v>
      </c>
      <c r="J20" s="57"/>
      <c r="K20" s="57"/>
      <c r="L20" s="57"/>
      <c r="M20" s="57"/>
      <c r="N20" s="57"/>
      <c r="O20" s="723"/>
    </row>
    <row r="21" spans="1:15" s="17" customFormat="1" ht="30" x14ac:dyDescent="0.25">
      <c r="A21" s="1025">
        <v>70</v>
      </c>
      <c r="B21" s="1006" t="s">
        <v>91</v>
      </c>
      <c r="C21" s="1006"/>
      <c r="D21" s="1026">
        <v>0.65</v>
      </c>
      <c r="E21" s="1005" t="s">
        <v>32</v>
      </c>
      <c r="F21" s="1005">
        <v>1</v>
      </c>
      <c r="G21" s="1005"/>
      <c r="H21" s="1005">
        <v>1</v>
      </c>
      <c r="I21" s="32">
        <f t="shared" si="0"/>
        <v>0.65</v>
      </c>
      <c r="J21" s="57"/>
      <c r="K21" s="57"/>
      <c r="L21" s="57"/>
      <c r="M21" s="57"/>
      <c r="N21" s="57"/>
      <c r="O21" s="723"/>
    </row>
    <row r="22" spans="1:15" ht="30" x14ac:dyDescent="0.25">
      <c r="A22" s="1025">
        <v>80</v>
      </c>
      <c r="B22" s="1006" t="s">
        <v>92</v>
      </c>
      <c r="C22" s="1006" t="s">
        <v>504</v>
      </c>
      <c r="D22" s="1026">
        <v>0.04</v>
      </c>
      <c r="E22" s="1005" t="s">
        <v>93</v>
      </c>
      <c r="F22" s="1005">
        <v>1.2</v>
      </c>
      <c r="G22" s="1005" t="s">
        <v>193</v>
      </c>
      <c r="H22" s="1005">
        <v>1</v>
      </c>
      <c r="I22" s="32">
        <f t="shared" si="0"/>
        <v>4.8000000000000001E-2</v>
      </c>
      <c r="J22" s="56"/>
      <c r="K22" s="56"/>
      <c r="L22" s="56"/>
      <c r="M22" s="56"/>
      <c r="N22" s="56"/>
      <c r="O22" s="264"/>
    </row>
    <row r="23" spans="1:15" ht="30" x14ac:dyDescent="0.25">
      <c r="A23" s="1025">
        <v>90</v>
      </c>
      <c r="B23" s="1006" t="s">
        <v>91</v>
      </c>
      <c r="C23" s="1006"/>
      <c r="D23" s="1026">
        <v>0.65</v>
      </c>
      <c r="E23" s="1005" t="s">
        <v>32</v>
      </c>
      <c r="F23" s="1005">
        <v>1</v>
      </c>
      <c r="G23" s="1005"/>
      <c r="H23" s="1005">
        <v>1</v>
      </c>
      <c r="I23" s="32">
        <f t="shared" si="0"/>
        <v>0.65</v>
      </c>
      <c r="J23" s="56"/>
      <c r="K23" s="56"/>
      <c r="L23" s="56"/>
      <c r="M23" s="56"/>
      <c r="N23" s="56"/>
      <c r="O23" s="264"/>
    </row>
    <row r="24" spans="1:15" ht="30" x14ac:dyDescent="0.25">
      <c r="A24" s="1025">
        <v>100</v>
      </c>
      <c r="B24" s="1006" t="s">
        <v>92</v>
      </c>
      <c r="C24" s="1006" t="s">
        <v>464</v>
      </c>
      <c r="D24" s="1026">
        <v>0.04</v>
      </c>
      <c r="E24" s="1005" t="s">
        <v>93</v>
      </c>
      <c r="F24" s="1005">
        <v>24</v>
      </c>
      <c r="G24" s="1005" t="s">
        <v>193</v>
      </c>
      <c r="H24" s="1005">
        <v>1</v>
      </c>
      <c r="I24" s="32">
        <f t="shared" si="0"/>
        <v>0.96</v>
      </c>
      <c r="J24" s="56"/>
      <c r="K24" s="56"/>
      <c r="L24" s="56"/>
      <c r="M24" s="56"/>
      <c r="N24" s="56"/>
      <c r="O24" s="264"/>
    </row>
    <row r="25" spans="1:15" ht="30" x14ac:dyDescent="0.25">
      <c r="A25" s="1025">
        <v>110</v>
      </c>
      <c r="B25" s="1006" t="s">
        <v>91</v>
      </c>
      <c r="C25" s="1006"/>
      <c r="D25" s="1026">
        <v>0.65</v>
      </c>
      <c r="E25" s="1005" t="s">
        <v>32</v>
      </c>
      <c r="F25" s="1005">
        <v>1</v>
      </c>
      <c r="G25" s="1005"/>
      <c r="H25" s="1005">
        <v>1</v>
      </c>
      <c r="I25" s="32">
        <f t="shared" si="0"/>
        <v>0.65</v>
      </c>
      <c r="J25" s="56"/>
      <c r="K25" s="56"/>
      <c r="L25" s="56"/>
      <c r="M25" s="56"/>
      <c r="N25" s="56"/>
      <c r="O25" s="264"/>
    </row>
    <row r="26" spans="1:15" ht="30" x14ac:dyDescent="0.25">
      <c r="A26" s="1025">
        <v>120</v>
      </c>
      <c r="B26" s="1006" t="s">
        <v>92</v>
      </c>
      <c r="C26" s="1006" t="s">
        <v>465</v>
      </c>
      <c r="D26" s="1026">
        <v>0.04</v>
      </c>
      <c r="E26" s="1005" t="s">
        <v>93</v>
      </c>
      <c r="F26" s="1005">
        <v>16</v>
      </c>
      <c r="G26" s="1005" t="s">
        <v>193</v>
      </c>
      <c r="H26" s="1005">
        <v>1</v>
      </c>
      <c r="I26" s="32">
        <f t="shared" si="0"/>
        <v>0.64</v>
      </c>
      <c r="J26" s="56"/>
      <c r="K26" s="56"/>
      <c r="L26" s="56"/>
      <c r="M26" s="56"/>
      <c r="N26" s="56"/>
      <c r="O26" s="264"/>
    </row>
    <row r="27" spans="1:15" ht="30" x14ac:dyDescent="0.25">
      <c r="A27" s="1025">
        <v>130</v>
      </c>
      <c r="B27" s="1040" t="s">
        <v>307</v>
      </c>
      <c r="C27" s="1006" t="s">
        <v>505</v>
      </c>
      <c r="D27" s="1026">
        <v>0.35</v>
      </c>
      <c r="E27" s="1005" t="s">
        <v>506</v>
      </c>
      <c r="F27" s="1005">
        <v>1</v>
      </c>
      <c r="G27" s="1005" t="s">
        <v>193</v>
      </c>
      <c r="H27" s="1005">
        <v>1</v>
      </c>
      <c r="I27" s="1047">
        <f t="shared" si="0"/>
        <v>0.35</v>
      </c>
      <c r="J27" s="56"/>
      <c r="K27" s="56"/>
      <c r="L27" s="56"/>
      <c r="M27" s="56"/>
      <c r="N27" s="56"/>
      <c r="O27" s="264"/>
    </row>
    <row r="28" spans="1:15" x14ac:dyDescent="0.25">
      <c r="A28" s="719"/>
      <c r="B28" s="24"/>
      <c r="C28" s="24"/>
      <c r="D28" s="24"/>
      <c r="E28" s="24"/>
      <c r="F28" s="24"/>
      <c r="G28" s="24"/>
      <c r="H28" s="108" t="s">
        <v>18</v>
      </c>
      <c r="I28" s="1003">
        <f>SUM(I15:I26)</f>
        <v>80.678000000000011</v>
      </c>
      <c r="J28" s="56"/>
      <c r="K28" s="56"/>
      <c r="L28" s="56"/>
      <c r="M28" s="56"/>
      <c r="N28" s="56"/>
      <c r="O28" s="264"/>
    </row>
    <row r="29" spans="1:15" x14ac:dyDescent="0.25">
      <c r="A29" s="705"/>
      <c r="B29" s="56"/>
      <c r="C29" s="56"/>
      <c r="D29" s="56"/>
      <c r="E29" s="56"/>
      <c r="F29" s="56"/>
      <c r="G29" s="56"/>
      <c r="H29" s="56"/>
      <c r="I29" s="57"/>
      <c r="J29" s="56"/>
      <c r="K29" s="56"/>
      <c r="L29" s="56"/>
      <c r="M29" s="56"/>
      <c r="N29" s="56"/>
      <c r="O29" s="264"/>
    </row>
    <row r="30" spans="1:15" x14ac:dyDescent="0.25">
      <c r="A30" s="705"/>
      <c r="B30" s="56"/>
      <c r="C30" s="56"/>
      <c r="D30" s="56"/>
      <c r="E30" s="56"/>
      <c r="F30" s="56"/>
      <c r="G30" s="56"/>
      <c r="H30" s="56"/>
      <c r="I30" s="57"/>
      <c r="J30" s="56"/>
      <c r="K30" s="56"/>
      <c r="L30" s="56"/>
      <c r="M30" s="56"/>
      <c r="N30" s="56"/>
      <c r="O30" s="264"/>
    </row>
    <row r="31" spans="1:15" x14ac:dyDescent="0.25">
      <c r="A31" s="705"/>
      <c r="B31" s="56"/>
      <c r="C31" s="56"/>
      <c r="D31" s="56"/>
      <c r="E31" s="56"/>
      <c r="F31" s="56"/>
      <c r="G31" s="56"/>
      <c r="H31" s="56"/>
      <c r="I31" s="57"/>
      <c r="J31" s="56"/>
      <c r="K31" s="56"/>
      <c r="L31" s="56"/>
      <c r="M31" s="56"/>
      <c r="N31" s="56"/>
      <c r="O31" s="264"/>
    </row>
    <row r="32" spans="1:15" x14ac:dyDescent="0.25">
      <c r="A32" s="705"/>
      <c r="B32" s="56"/>
      <c r="C32" s="56"/>
      <c r="D32" s="56"/>
      <c r="E32" s="56"/>
      <c r="F32" s="56"/>
      <c r="G32" s="56"/>
      <c r="H32" s="56"/>
      <c r="I32" s="57"/>
      <c r="J32" s="56"/>
      <c r="K32" s="56"/>
      <c r="L32" s="56"/>
      <c r="M32" s="56"/>
      <c r="N32" s="56"/>
      <c r="O32" s="264"/>
    </row>
    <row r="33" spans="1:15" x14ac:dyDescent="0.25">
      <c r="A33" s="705"/>
      <c r="B33" s="56"/>
      <c r="C33" s="56"/>
      <c r="D33" s="56"/>
      <c r="E33" s="56"/>
      <c r="F33" s="56"/>
      <c r="G33" s="56"/>
      <c r="H33" s="56"/>
      <c r="I33" s="57"/>
      <c r="J33" s="56"/>
      <c r="K33" s="56"/>
      <c r="L33" s="56"/>
      <c r="M33" s="56"/>
      <c r="N33" s="56"/>
      <c r="O33" s="264"/>
    </row>
    <row r="34" spans="1:15" ht="15.75" thickBot="1" x14ac:dyDescent="0.3">
      <c r="A34" s="284"/>
      <c r="B34" s="285"/>
      <c r="C34" s="285"/>
      <c r="D34" s="285"/>
      <c r="E34" s="285"/>
      <c r="F34" s="285"/>
      <c r="G34" s="285"/>
      <c r="H34" s="285"/>
      <c r="I34" s="285"/>
      <c r="J34" s="285"/>
      <c r="K34" s="285"/>
      <c r="L34" s="285"/>
      <c r="M34" s="285"/>
      <c r="N34" s="285"/>
      <c r="O34" s="286"/>
    </row>
  </sheetData>
  <hyperlinks>
    <hyperlink ref="E3" location="dSU_11001" display="Drawing" xr:uid="{00000000-0004-0000-7A00-000000000000}"/>
    <hyperlink ref="B4" location="SU_A1100" display="SU_A1100" xr:uid="{00000000-0004-0000-7A00-000001000000}"/>
    <hyperlink ref="G2" location="SU_A1100_BOM" display="Back to BOM" xr:uid="{00000000-0004-0000-7A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6" firstPageNumber="0" fitToHeight="99" orientation="landscape" r:id="rId1"/>
  <headerFooter>
    <oddFooter>Page &amp;P</oddFooter>
  </headerFooter>
  <rowBreaks count="2" manualBreakCount="2">
    <brk id="27" max="16383" man="1"/>
    <brk id="65" max="16383" man="1"/>
  </rowBreaks>
  <drawing r:id="rId2"/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B00-000000000000}">
  <sheetPr>
    <tabColor rgb="FFFFFF66"/>
    <pageSetUpPr fitToPage="1"/>
  </sheetPr>
  <dimension ref="A1:B1"/>
  <sheetViews>
    <sheetView zoomScale="85" zoomScaleNormal="85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124</v>
      </c>
      <c r="B1" s="996" t="s">
        <v>513</v>
      </c>
    </row>
  </sheetData>
  <hyperlinks>
    <hyperlink ref="B1" location="SU_11001" display="SU_11001" xr:uid="{00000000-0004-0000-7B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C00-000000000000}">
  <sheetPr>
    <tabColor rgb="FFFFFF66"/>
    <pageSetUpPr fitToPage="1"/>
  </sheetPr>
  <dimension ref="A1:O25"/>
  <sheetViews>
    <sheetView zoomScaleNormal="10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22.85546875" customWidth="1"/>
    <col min="3" max="3" width="25.28515625" customWidth="1"/>
    <col min="7" max="7" width="14.42578125" customWidth="1"/>
    <col min="9" max="9" width="14.28515625" customWidth="1"/>
    <col min="14" max="14" width="12.5703125" bestFit="1" customWidth="1"/>
    <col min="15" max="15" width="3.140625" customWidth="1"/>
  </cols>
  <sheetData>
    <row r="1" spans="1:15" x14ac:dyDescent="0.25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25">
      <c r="A2" s="1015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5" t="s">
        <v>16</v>
      </c>
      <c r="N2" s="74">
        <f>SU_11002_m+SU_11002_p</f>
        <v>21.194420000000001</v>
      </c>
      <c r="O2" s="264"/>
    </row>
    <row r="3" spans="1:15" x14ac:dyDescent="0.25">
      <c r="A3" s="1015" t="s">
        <v>3</v>
      </c>
      <c r="B3" s="16" t="str">
        <f>'SU A1100 '!B3</f>
        <v>Wheels &amp; Tires</v>
      </c>
      <c r="C3" s="56"/>
      <c r="D3" s="995" t="s">
        <v>6</v>
      </c>
      <c r="E3" s="271" t="s">
        <v>60</v>
      </c>
      <c r="F3" s="56"/>
      <c r="G3" s="56"/>
      <c r="H3" s="56"/>
      <c r="I3" s="56"/>
      <c r="J3" s="56"/>
      <c r="K3" s="56"/>
      <c r="L3" s="56"/>
      <c r="M3" s="995" t="s">
        <v>4</v>
      </c>
      <c r="N3" s="82">
        <v>1</v>
      </c>
      <c r="O3" s="264"/>
    </row>
    <row r="4" spans="1:15" x14ac:dyDescent="0.25">
      <c r="A4" s="1015" t="s">
        <v>5</v>
      </c>
      <c r="B4" s="271" t="str">
        <f>'SU A1100 '!B4</f>
        <v>Rear Uprights</v>
      </c>
      <c r="C4" s="56"/>
      <c r="D4" s="995" t="s">
        <v>8</v>
      </c>
      <c r="E4" s="56"/>
      <c r="F4" s="56"/>
      <c r="G4" s="56"/>
      <c r="H4" s="56"/>
      <c r="I4" s="56"/>
      <c r="J4" s="997" t="s">
        <v>6</v>
      </c>
      <c r="K4" s="56"/>
      <c r="L4" s="56"/>
      <c r="M4" s="56"/>
      <c r="N4" s="56"/>
      <c r="O4" s="264"/>
    </row>
    <row r="5" spans="1:15" x14ac:dyDescent="0.25">
      <c r="A5" s="1015" t="s">
        <v>15</v>
      </c>
      <c r="B5" s="18" t="s">
        <v>434</v>
      </c>
      <c r="C5" s="56"/>
      <c r="D5" s="995" t="s">
        <v>12</v>
      </c>
      <c r="E5" s="56"/>
      <c r="F5" s="56"/>
      <c r="G5" s="56"/>
      <c r="H5" s="56"/>
      <c r="I5" s="56"/>
      <c r="J5" s="997" t="s">
        <v>8</v>
      </c>
      <c r="K5" s="56"/>
      <c r="L5" s="56"/>
      <c r="M5" s="995" t="s">
        <v>9</v>
      </c>
      <c r="N5" s="74">
        <f>N3*N2</f>
        <v>21.194420000000001</v>
      </c>
      <c r="O5" s="264"/>
    </row>
    <row r="6" spans="1:15" x14ac:dyDescent="0.25">
      <c r="A6" s="1015" t="s">
        <v>7</v>
      </c>
      <c r="B6" s="28" t="s">
        <v>507</v>
      </c>
      <c r="C6" s="56"/>
      <c r="D6" s="56"/>
      <c r="E6" s="56"/>
      <c r="F6" s="56"/>
      <c r="G6" s="56"/>
      <c r="H6" s="56"/>
      <c r="I6" s="56"/>
      <c r="J6" s="997" t="s">
        <v>12</v>
      </c>
      <c r="K6" s="56"/>
      <c r="L6" s="56"/>
      <c r="M6" s="56"/>
      <c r="N6" s="56"/>
      <c r="O6" s="264"/>
    </row>
    <row r="7" spans="1:15" x14ac:dyDescent="0.25">
      <c r="A7" s="1015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64"/>
    </row>
    <row r="8" spans="1:15" x14ac:dyDescent="0.25">
      <c r="A8" s="1015" t="s">
        <v>13</v>
      </c>
      <c r="B8" s="16" t="s">
        <v>475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64"/>
    </row>
    <row r="9" spans="1:15" x14ac:dyDescent="0.25">
      <c r="A9" s="1016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64"/>
    </row>
    <row r="10" spans="1:15" x14ac:dyDescent="0.25">
      <c r="A10" s="1017" t="s">
        <v>14</v>
      </c>
      <c r="B10" s="999" t="s">
        <v>19</v>
      </c>
      <c r="C10" s="999" t="s">
        <v>20</v>
      </c>
      <c r="D10" s="999" t="s">
        <v>21</v>
      </c>
      <c r="E10" s="999" t="s">
        <v>22</v>
      </c>
      <c r="F10" s="1000" t="s">
        <v>23</v>
      </c>
      <c r="G10" s="1000" t="s">
        <v>24</v>
      </c>
      <c r="H10" s="1000" t="s">
        <v>25</v>
      </c>
      <c r="I10" s="1000" t="s">
        <v>26</v>
      </c>
      <c r="J10" s="1000" t="s">
        <v>27</v>
      </c>
      <c r="K10" s="1000" t="s">
        <v>28</v>
      </c>
      <c r="L10" s="1000" t="s">
        <v>29</v>
      </c>
      <c r="M10" s="1000" t="s">
        <v>17</v>
      </c>
      <c r="N10" s="1000" t="s">
        <v>18</v>
      </c>
      <c r="O10" s="264"/>
    </row>
    <row r="11" spans="1:15" s="22" customFormat="1" ht="45" x14ac:dyDescent="0.25">
      <c r="A11" s="1021">
        <v>10</v>
      </c>
      <c r="B11" s="968" t="s">
        <v>476</v>
      </c>
      <c r="C11" s="969"/>
      <c r="D11" s="32">
        <v>2.25</v>
      </c>
      <c r="E11" s="1022">
        <f>J11*K11*L11</f>
        <v>1.4695199999999999</v>
      </c>
      <c r="F11" s="969" t="s">
        <v>141</v>
      </c>
      <c r="G11" s="969"/>
      <c r="H11" s="971"/>
      <c r="I11" s="830" t="s">
        <v>477</v>
      </c>
      <c r="J11" s="1023">
        <f>0.05*0.072</f>
        <v>3.5999999999999999E-3</v>
      </c>
      <c r="K11" s="1024">
        <v>5.1999999999999998E-2</v>
      </c>
      <c r="L11" s="981">
        <v>7850</v>
      </c>
      <c r="M11" s="982">
        <v>1</v>
      </c>
      <c r="N11" s="32">
        <f>D11*E11</f>
        <v>3.3064199999999997</v>
      </c>
      <c r="O11" s="718"/>
    </row>
    <row r="12" spans="1:15" x14ac:dyDescent="0.25">
      <c r="A12" s="719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03">
        <f>N11*M11</f>
        <v>3.3064199999999997</v>
      </c>
      <c r="O12" s="264"/>
    </row>
    <row r="13" spans="1:15" x14ac:dyDescent="0.25">
      <c r="A13" s="705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64"/>
    </row>
    <row r="14" spans="1:15" x14ac:dyDescent="0.25">
      <c r="A14" s="1019" t="s">
        <v>14</v>
      </c>
      <c r="B14" s="1000" t="s">
        <v>31</v>
      </c>
      <c r="C14" s="1000" t="s">
        <v>20</v>
      </c>
      <c r="D14" s="1000" t="s">
        <v>21</v>
      </c>
      <c r="E14" s="1000" t="s">
        <v>32</v>
      </c>
      <c r="F14" s="1000" t="s">
        <v>17</v>
      </c>
      <c r="G14" s="1000" t="s">
        <v>33</v>
      </c>
      <c r="H14" s="1000" t="s">
        <v>34</v>
      </c>
      <c r="I14" s="1000" t="s">
        <v>18</v>
      </c>
      <c r="J14" s="24"/>
      <c r="K14" s="24"/>
      <c r="L14" s="24"/>
      <c r="M14" s="24"/>
      <c r="N14" s="24"/>
      <c r="O14" s="264"/>
    </row>
    <row r="15" spans="1:15" s="25" customFormat="1" ht="30" x14ac:dyDescent="0.25">
      <c r="A15" s="1025">
        <v>10</v>
      </c>
      <c r="B15" s="1006" t="s">
        <v>457</v>
      </c>
      <c r="C15" s="1006" t="s">
        <v>458</v>
      </c>
      <c r="D15" s="1026">
        <v>1.3</v>
      </c>
      <c r="E15" s="1005" t="s">
        <v>32</v>
      </c>
      <c r="F15" s="1005">
        <v>1</v>
      </c>
      <c r="G15" s="1005"/>
      <c r="H15" s="1005">
        <v>1</v>
      </c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720"/>
    </row>
    <row r="16" spans="1:15" ht="30" x14ac:dyDescent="0.25">
      <c r="A16" s="1025">
        <v>20</v>
      </c>
      <c r="B16" s="1006" t="s">
        <v>92</v>
      </c>
      <c r="C16" s="1006" t="s">
        <v>478</v>
      </c>
      <c r="D16" s="1026">
        <v>0.04</v>
      </c>
      <c r="E16" s="1005" t="s">
        <v>93</v>
      </c>
      <c r="F16" s="1005">
        <v>102</v>
      </c>
      <c r="G16" s="1005" t="s">
        <v>339</v>
      </c>
      <c r="H16" s="1005">
        <v>3</v>
      </c>
      <c r="I16" s="32">
        <f>IF(H16="",D16*F16,D16*F16*H16)</f>
        <v>12.24</v>
      </c>
      <c r="J16" s="56"/>
      <c r="K16" s="56"/>
      <c r="L16" s="56"/>
      <c r="M16" s="56"/>
      <c r="N16" s="56"/>
      <c r="O16" s="264"/>
    </row>
    <row r="17" spans="1:15" s="17" customFormat="1" ht="30" x14ac:dyDescent="0.25">
      <c r="A17" s="1025">
        <v>30</v>
      </c>
      <c r="B17" s="1006" t="s">
        <v>91</v>
      </c>
      <c r="C17" s="1006" t="s">
        <v>460</v>
      </c>
      <c r="D17" s="1026">
        <v>0.65</v>
      </c>
      <c r="E17" s="1005" t="s">
        <v>32</v>
      </c>
      <c r="F17" s="1005">
        <v>1</v>
      </c>
      <c r="G17" s="1005"/>
      <c r="H17" s="1005">
        <v>1</v>
      </c>
      <c r="I17" s="32">
        <f t="shared" si="0"/>
        <v>0.65</v>
      </c>
      <c r="J17" s="57"/>
      <c r="K17" s="57"/>
      <c r="L17" s="57"/>
      <c r="M17" s="57"/>
      <c r="N17" s="57"/>
      <c r="O17" s="723"/>
    </row>
    <row r="18" spans="1:15" s="17" customFormat="1" ht="30" x14ac:dyDescent="0.25">
      <c r="A18" s="1025">
        <v>40</v>
      </c>
      <c r="B18" s="1006" t="s">
        <v>92</v>
      </c>
      <c r="C18" s="1006" t="s">
        <v>479</v>
      </c>
      <c r="D18" s="1026">
        <v>0.04</v>
      </c>
      <c r="E18" s="1005" t="s">
        <v>93</v>
      </c>
      <c r="F18" s="1005">
        <v>25.2</v>
      </c>
      <c r="G18" s="1005" t="s">
        <v>339</v>
      </c>
      <c r="H18" s="1005">
        <v>3</v>
      </c>
      <c r="I18" s="32">
        <f>IF(H18="",D18*F18,D18*F18*H18)</f>
        <v>3.024</v>
      </c>
      <c r="J18" s="57"/>
      <c r="K18" s="57"/>
      <c r="L18" s="57"/>
      <c r="M18" s="57"/>
      <c r="N18" s="57"/>
      <c r="O18" s="723"/>
    </row>
    <row r="19" spans="1:15" s="17" customFormat="1" ht="30" x14ac:dyDescent="0.25">
      <c r="A19" s="1025">
        <v>50</v>
      </c>
      <c r="B19" s="1006" t="s">
        <v>91</v>
      </c>
      <c r="C19" s="1006" t="s">
        <v>460</v>
      </c>
      <c r="D19" s="1026">
        <v>0.65</v>
      </c>
      <c r="E19" s="1005" t="s">
        <v>32</v>
      </c>
      <c r="F19" s="1005">
        <v>1</v>
      </c>
      <c r="G19" s="1005"/>
      <c r="H19" s="1005">
        <v>1</v>
      </c>
      <c r="I19" s="32">
        <f t="shared" si="0"/>
        <v>0.65</v>
      </c>
      <c r="J19" s="57"/>
      <c r="K19" s="57"/>
      <c r="L19" s="57"/>
      <c r="M19" s="57"/>
      <c r="N19" s="57"/>
      <c r="O19" s="723"/>
    </row>
    <row r="20" spans="1:15" s="17" customFormat="1" ht="30" x14ac:dyDescent="0.25">
      <c r="A20" s="1025">
        <v>60</v>
      </c>
      <c r="B20" s="1006" t="s">
        <v>92</v>
      </c>
      <c r="C20" s="1006" t="s">
        <v>480</v>
      </c>
      <c r="D20" s="1026">
        <v>0.04</v>
      </c>
      <c r="E20" s="1005" t="s">
        <v>93</v>
      </c>
      <c r="F20" s="1005">
        <v>0.2</v>
      </c>
      <c r="G20" s="1005" t="s">
        <v>339</v>
      </c>
      <c r="H20" s="1005">
        <v>3</v>
      </c>
      <c r="I20" s="32">
        <f>IF(H20="",D20*F20,D20*F20*H20)</f>
        <v>2.4E-2</v>
      </c>
      <c r="J20" s="57"/>
      <c r="K20" s="57"/>
      <c r="L20" s="57"/>
      <c r="M20" s="57"/>
      <c r="N20" s="57"/>
      <c r="O20" s="723"/>
    </row>
    <row r="21" spans="1:15" ht="30" x14ac:dyDescent="0.25">
      <c r="A21" s="1025">
        <v>70</v>
      </c>
      <c r="B21" s="1006" t="s">
        <v>91</v>
      </c>
      <c r="C21" s="1006" t="s">
        <v>460</v>
      </c>
      <c r="D21" s="1026">
        <v>0.65</v>
      </c>
      <c r="E21" s="1005" t="s">
        <v>32</v>
      </c>
      <c r="F21" s="1005">
        <v>1</v>
      </c>
      <c r="G21" s="1005"/>
      <c r="H21" s="1005">
        <v>1</v>
      </c>
      <c r="I21" s="32">
        <f t="shared" ref="I21" si="1">IF(H21="",D21*F21,D21*F21*H21)</f>
        <v>0.65</v>
      </c>
      <c r="J21" s="24"/>
      <c r="K21" s="24"/>
      <c r="L21" s="24"/>
      <c r="M21" s="24"/>
      <c r="N21" s="24"/>
      <c r="O21" s="264"/>
    </row>
    <row r="22" spans="1:15" ht="30" x14ac:dyDescent="0.25">
      <c r="A22" s="1025">
        <v>80</v>
      </c>
      <c r="B22" s="1006" t="s">
        <v>92</v>
      </c>
      <c r="C22" s="1006" t="s">
        <v>481</v>
      </c>
      <c r="D22" s="1026">
        <v>0.04</v>
      </c>
      <c r="E22" s="1005" t="s">
        <v>93</v>
      </c>
      <c r="F22" s="1005">
        <v>3.56</v>
      </c>
      <c r="G22" s="1005" t="s">
        <v>339</v>
      </c>
      <c r="H22" s="1005">
        <v>3</v>
      </c>
      <c r="I22" s="32">
        <f>IF(H22="",D22*F22,D22*F22*H22)</f>
        <v>0.42720000000000002</v>
      </c>
      <c r="J22" s="56"/>
      <c r="K22" s="56"/>
      <c r="L22" s="56"/>
      <c r="M22" s="56"/>
      <c r="N22" s="56"/>
      <c r="O22" s="264"/>
    </row>
    <row r="23" spans="1:15" x14ac:dyDescent="0.25">
      <c r="A23" s="705"/>
      <c r="B23" s="56"/>
      <c r="C23" s="56"/>
      <c r="D23" s="56"/>
      <c r="E23" s="56"/>
      <c r="F23" s="56"/>
      <c r="G23" s="56"/>
      <c r="H23" s="105" t="s">
        <v>18</v>
      </c>
      <c r="I23" s="1036">
        <f>SUM(I15:I20)</f>
        <v>17.888000000000002</v>
      </c>
      <c r="J23" s="56"/>
      <c r="K23" s="56"/>
      <c r="L23" s="56"/>
      <c r="M23" s="56"/>
      <c r="N23" s="56"/>
      <c r="O23" s="264"/>
    </row>
    <row r="24" spans="1:15" s="56" customFormat="1" x14ac:dyDescent="0.25">
      <c r="A24" s="705"/>
      <c r="O24" s="264"/>
    </row>
    <row r="25" spans="1:15" ht="15.75" thickBot="1" x14ac:dyDescent="0.3">
      <c r="A25" s="284"/>
      <c r="B25" s="285"/>
      <c r="C25" s="285"/>
      <c r="D25" s="285"/>
      <c r="E25" s="285"/>
      <c r="F25" s="285"/>
      <c r="G25" s="285"/>
      <c r="H25" s="285"/>
      <c r="I25" s="285"/>
      <c r="J25" s="285"/>
      <c r="K25" s="285"/>
      <c r="L25" s="285"/>
      <c r="M25" s="285"/>
      <c r="N25" s="285"/>
      <c r="O25" s="286"/>
    </row>
  </sheetData>
  <hyperlinks>
    <hyperlink ref="E3" location="dSU_11002" display="Drawing" xr:uid="{00000000-0004-0000-7C00-000000000000}"/>
    <hyperlink ref="G2" location="SU_A1100_BOM" display="Back to BOM" xr:uid="{00000000-0004-0000-7C00-000001000000}"/>
    <hyperlink ref="B4" location="SU_A1100" display="SU_A1100" xr:uid="{00000000-0004-0000-7C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1" firstPageNumber="0" fitToHeight="99" orientation="landscape" r:id="rId1"/>
  <headerFooter>
    <oddFooter>Page &amp;P</oddFooter>
  </headerFooter>
  <rowBreaks count="2" manualBreakCount="2">
    <brk id="23" max="16383" man="1"/>
    <brk id="57" max="16383" man="1"/>
  </rowBreaks>
  <drawing r:id="rId2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D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124</v>
      </c>
      <c r="B1" s="275" t="s">
        <v>514</v>
      </c>
    </row>
  </sheetData>
  <hyperlinks>
    <hyperlink ref="B1" location="SU_11002" display="SU_11002" xr:uid="{00000000-0004-0000-7D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E00-000000000000}">
  <sheetPr>
    <tabColor rgb="FFFFFF66"/>
    <pageSetUpPr fitToPage="1"/>
  </sheetPr>
  <dimension ref="A1:O19"/>
  <sheetViews>
    <sheetView zoomScaleNormal="10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17.85546875" customWidth="1"/>
    <col min="3" max="3" width="13.42578125" customWidth="1"/>
    <col min="7" max="7" width="10.7109375" customWidth="1"/>
    <col min="14" max="14" width="12.5703125" bestFit="1" customWidth="1"/>
    <col min="15" max="15" width="3.140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95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5" t="s">
        <v>16</v>
      </c>
      <c r="N2" s="74">
        <f>N12+SU_11003_p</f>
        <v>0.82576020000000006</v>
      </c>
      <c r="O2" s="62"/>
    </row>
    <row r="3" spans="1:15" x14ac:dyDescent="0.25">
      <c r="A3" s="995" t="s">
        <v>3</v>
      </c>
      <c r="B3" s="16" t="str">
        <f>'SU A1100 '!B3</f>
        <v>Wheels &amp; Tires</v>
      </c>
      <c r="C3" s="56"/>
      <c r="D3" s="995" t="s">
        <v>6</v>
      </c>
      <c r="E3" s="275" t="s">
        <v>60</v>
      </c>
      <c r="F3" s="56"/>
      <c r="G3" s="56"/>
      <c r="H3" s="56"/>
      <c r="I3" s="56"/>
      <c r="J3" s="56"/>
      <c r="K3" s="56"/>
      <c r="L3" s="56"/>
      <c r="M3" s="995" t="s">
        <v>4</v>
      </c>
      <c r="N3" s="82">
        <v>1</v>
      </c>
      <c r="O3" s="62"/>
    </row>
    <row r="4" spans="1:15" x14ac:dyDescent="0.25">
      <c r="A4" s="995" t="s">
        <v>5</v>
      </c>
      <c r="B4" s="271" t="str">
        <f>'SU A1100 '!B4</f>
        <v>Rear Uprights</v>
      </c>
      <c r="C4" s="56"/>
      <c r="D4" s="995" t="s">
        <v>8</v>
      </c>
      <c r="E4" s="56"/>
      <c r="F4" s="56"/>
      <c r="G4" s="56"/>
      <c r="H4" s="56"/>
      <c r="I4" s="56"/>
      <c r="J4" s="997" t="s">
        <v>6</v>
      </c>
      <c r="K4" s="56"/>
      <c r="L4" s="56"/>
      <c r="M4" s="56"/>
      <c r="N4" s="56"/>
      <c r="O4" s="62"/>
    </row>
    <row r="5" spans="1:15" x14ac:dyDescent="0.25">
      <c r="A5" s="995" t="s">
        <v>15</v>
      </c>
      <c r="B5" s="18" t="s">
        <v>482</v>
      </c>
      <c r="C5" s="56"/>
      <c r="D5" s="995" t="s">
        <v>12</v>
      </c>
      <c r="E5" s="56"/>
      <c r="F5" s="56"/>
      <c r="G5" s="56"/>
      <c r="H5" s="56"/>
      <c r="I5" s="56"/>
      <c r="J5" s="997" t="s">
        <v>8</v>
      </c>
      <c r="K5" s="56"/>
      <c r="L5" s="56"/>
      <c r="M5" s="995" t="s">
        <v>9</v>
      </c>
      <c r="N5" s="74">
        <f>N3*N2</f>
        <v>0.82576020000000006</v>
      </c>
      <c r="O5" s="62"/>
    </row>
    <row r="6" spans="1:15" x14ac:dyDescent="0.25">
      <c r="A6" s="995" t="s">
        <v>7</v>
      </c>
      <c r="B6" s="28" t="s">
        <v>508</v>
      </c>
      <c r="C6" s="56"/>
      <c r="D6" s="56"/>
      <c r="E6" s="56"/>
      <c r="F6" s="56"/>
      <c r="G6" s="56"/>
      <c r="H6" s="56"/>
      <c r="I6" s="56"/>
      <c r="J6" s="997" t="s">
        <v>12</v>
      </c>
      <c r="K6" s="56"/>
      <c r="L6" s="56"/>
      <c r="M6" s="56"/>
      <c r="N6" s="56"/>
      <c r="O6" s="62"/>
    </row>
    <row r="7" spans="1:15" x14ac:dyDescent="0.25">
      <c r="A7" s="995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95" t="s">
        <v>13</v>
      </c>
      <c r="B8" s="16" t="s">
        <v>484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998" t="s">
        <v>14</v>
      </c>
      <c r="B10" s="999" t="s">
        <v>19</v>
      </c>
      <c r="C10" s="999" t="s">
        <v>20</v>
      </c>
      <c r="D10" s="999" t="s">
        <v>21</v>
      </c>
      <c r="E10" s="999" t="s">
        <v>22</v>
      </c>
      <c r="F10" s="1000" t="s">
        <v>23</v>
      </c>
      <c r="G10" s="1000" t="s">
        <v>24</v>
      </c>
      <c r="H10" s="1000" t="s">
        <v>25</v>
      </c>
      <c r="I10" s="1000" t="s">
        <v>26</v>
      </c>
      <c r="J10" s="1000" t="s">
        <v>27</v>
      </c>
      <c r="K10" s="1000" t="s">
        <v>28</v>
      </c>
      <c r="L10" s="1000" t="s">
        <v>29</v>
      </c>
      <c r="M10" s="1000" t="s">
        <v>17</v>
      </c>
      <c r="N10" s="1000" t="s">
        <v>18</v>
      </c>
      <c r="O10" s="62"/>
    </row>
    <row r="11" spans="1:15" s="22" customFormat="1" x14ac:dyDescent="0.25">
      <c r="A11" s="957">
        <v>10</v>
      </c>
      <c r="B11" s="665" t="s">
        <v>301</v>
      </c>
      <c r="C11" s="20"/>
      <c r="D11" s="277">
        <v>2.25</v>
      </c>
      <c r="E11" s="1001">
        <f>J11*K11*L11</f>
        <v>9.6711999999999996E-3</v>
      </c>
      <c r="F11" s="20" t="s">
        <v>141</v>
      </c>
      <c r="G11" s="20"/>
      <c r="H11" s="278"/>
      <c r="I11" s="21" t="s">
        <v>509</v>
      </c>
      <c r="J11" s="1002">
        <f>(22*56*10^(-6))</f>
        <v>1.232E-3</v>
      </c>
      <c r="K11" s="668">
        <v>1E-3</v>
      </c>
      <c r="L11" s="669">
        <v>7850</v>
      </c>
      <c r="M11" s="23">
        <v>1</v>
      </c>
      <c r="N11" s="277">
        <f>D11*E11</f>
        <v>2.17602E-2</v>
      </c>
      <c r="O11" s="66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03">
        <f>N11*M11</f>
        <v>2.17602E-2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1043" t="s">
        <v>14</v>
      </c>
      <c r="B14" s="1000" t="s">
        <v>31</v>
      </c>
      <c r="C14" s="1000" t="s">
        <v>20</v>
      </c>
      <c r="D14" s="1000" t="s">
        <v>21</v>
      </c>
      <c r="E14" s="1000" t="s">
        <v>32</v>
      </c>
      <c r="F14" s="1000" t="s">
        <v>17</v>
      </c>
      <c r="G14" s="1000" t="s">
        <v>33</v>
      </c>
      <c r="H14" s="1000" t="s">
        <v>34</v>
      </c>
      <c r="I14" s="1000" t="s">
        <v>18</v>
      </c>
      <c r="J14" s="24"/>
      <c r="K14" s="24"/>
      <c r="L14" s="24"/>
      <c r="M14" s="24"/>
      <c r="N14" s="24"/>
      <c r="O14" s="62"/>
    </row>
    <row r="15" spans="1:15" s="25" customFormat="1" ht="45" x14ac:dyDescent="0.25">
      <c r="A15" s="1005">
        <v>10</v>
      </c>
      <c r="B15" s="1006" t="s">
        <v>457</v>
      </c>
      <c r="C15" s="1006" t="s">
        <v>471</v>
      </c>
      <c r="D15" s="1026">
        <v>1.3</v>
      </c>
      <c r="E15" s="1005" t="s">
        <v>32</v>
      </c>
      <c r="F15" s="1005">
        <v>1</v>
      </c>
      <c r="G15" s="1005" t="s">
        <v>486</v>
      </c>
      <c r="H15" s="1005">
        <v>0.5</v>
      </c>
      <c r="I15" s="32">
        <f>IF(H15="",D15*F15,D15*F15*H15)</f>
        <v>0.65</v>
      </c>
      <c r="J15" s="58"/>
      <c r="K15" s="58"/>
      <c r="L15" s="58"/>
      <c r="M15" s="58"/>
      <c r="N15" s="58"/>
      <c r="O15" s="68"/>
    </row>
    <row r="16" spans="1:15" x14ac:dyDescent="0.25">
      <c r="A16" s="1005">
        <v>20</v>
      </c>
      <c r="B16" s="1006" t="s">
        <v>347</v>
      </c>
      <c r="C16" s="1006"/>
      <c r="D16" s="1026">
        <v>0.01</v>
      </c>
      <c r="E16" s="1005" t="s">
        <v>40</v>
      </c>
      <c r="F16" s="1005">
        <v>15.4</v>
      </c>
      <c r="G16" s="664"/>
      <c r="H16" s="1048">
        <v>1</v>
      </c>
      <c r="I16" s="32">
        <f>F16*D16</f>
        <v>0.154</v>
      </c>
      <c r="J16" s="56"/>
      <c r="K16" s="56"/>
      <c r="L16" s="56"/>
      <c r="M16" s="56"/>
      <c r="N16" s="56"/>
      <c r="O16" s="62"/>
    </row>
    <row r="17" spans="1:15" x14ac:dyDescent="0.25">
      <c r="A17" s="1005">
        <v>30</v>
      </c>
      <c r="B17" s="1006" t="s">
        <v>487</v>
      </c>
      <c r="C17" s="1006"/>
      <c r="D17" s="1007">
        <v>0.25</v>
      </c>
      <c r="E17" s="1005" t="s">
        <v>488</v>
      </c>
      <c r="F17" s="1005">
        <v>1</v>
      </c>
      <c r="G17" s="1005"/>
      <c r="H17" s="1005">
        <v>1</v>
      </c>
      <c r="I17" s="32">
        <f>F17*D17</f>
        <v>0.25</v>
      </c>
      <c r="J17" s="24"/>
      <c r="K17" s="24"/>
      <c r="L17" s="24"/>
      <c r="M17" s="24"/>
      <c r="N17" s="24"/>
      <c r="O17" s="62"/>
    </row>
    <row r="18" spans="1:15" x14ac:dyDescent="0.25">
      <c r="A18" s="63"/>
      <c r="B18" s="56"/>
      <c r="C18" s="56"/>
      <c r="D18" s="56"/>
      <c r="E18" s="56"/>
      <c r="F18" s="56"/>
      <c r="G18" s="56"/>
      <c r="H18" s="108" t="s">
        <v>18</v>
      </c>
      <c r="I18" s="1003">
        <f>SUM(I15:I16)</f>
        <v>0.80400000000000005</v>
      </c>
      <c r="J18" s="56"/>
      <c r="K18" s="56"/>
      <c r="L18" s="56"/>
      <c r="M18" s="56"/>
      <c r="N18" s="56"/>
      <c r="O18" s="62"/>
    </row>
    <row r="19" spans="1:15" ht="15.75" thickBot="1" x14ac:dyDescent="0.3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1003" display="Drawing" xr:uid="{00000000-0004-0000-7E00-000000000000}"/>
    <hyperlink ref="G2" location="SU_A1100_BOM" display="Back to BOM" xr:uid="{00000000-0004-0000-7E00-000001000000}"/>
    <hyperlink ref="B4" location="SU_A1100" display="SU_A1100" xr:uid="{00000000-0004-0000-7E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95" firstPageNumber="0" fitToHeight="99" orientation="landscape" r:id="rId1"/>
  <headerFooter>
    <oddFooter>Page &amp;P</oddFooter>
  </headerFooter>
  <rowBreaks count="2" manualBreakCount="2">
    <brk id="19" max="16383" man="1"/>
    <brk id="53" max="16383" man="1"/>
  </rowBreaks>
  <drawing r:id="rId2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F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124</v>
      </c>
      <c r="B1" s="996" t="s">
        <v>515</v>
      </c>
    </row>
  </sheetData>
  <hyperlinks>
    <hyperlink ref="B1" location="SU_11003" display="SU_11003" xr:uid="{00000000-0004-0000-7F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000-000000000000}">
  <sheetPr>
    <tabColor rgb="FFFFFF66"/>
    <pageSetUpPr fitToPage="1"/>
  </sheetPr>
  <dimension ref="A1:O19"/>
  <sheetViews>
    <sheetView zoomScale="90" zoomScaleNormal="90" zoomScalePageLayoutView="70" workbookViewId="0">
      <selection activeCell="E2" sqref="E2"/>
    </sheetView>
  </sheetViews>
  <sheetFormatPr baseColWidth="10" defaultColWidth="9.140625" defaultRowHeight="15" x14ac:dyDescent="0.25"/>
  <cols>
    <col min="1" max="1" width="9.28515625" bestFit="1" customWidth="1"/>
    <col min="2" max="2" width="19" customWidth="1"/>
    <col min="4" max="6" width="9.28515625" bestFit="1" customWidth="1"/>
    <col min="7" max="7" width="12.85546875" customWidth="1"/>
    <col min="8" max="8" width="12.7109375" bestFit="1" customWidth="1"/>
    <col min="9" max="9" width="15.85546875" customWidth="1"/>
    <col min="10" max="13" width="9.28515625" bestFit="1" customWidth="1"/>
    <col min="14" max="14" width="12.7109375" bestFit="1" customWidth="1"/>
    <col min="15" max="15" width="3.140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95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5" t="s">
        <v>16</v>
      </c>
      <c r="N2" s="74">
        <f>SU_11004_m+SU_11004_p</f>
        <v>0.42454853333333331</v>
      </c>
      <c r="O2" s="62"/>
    </row>
    <row r="3" spans="1:15" x14ac:dyDescent="0.25">
      <c r="A3" s="995" t="s">
        <v>3</v>
      </c>
      <c r="B3" s="16" t="str">
        <f>'SU A1100 '!B3</f>
        <v>Wheels &amp; Tires</v>
      </c>
      <c r="C3" s="56"/>
      <c r="D3" s="995" t="s">
        <v>6</v>
      </c>
      <c r="E3" s="996" t="s">
        <v>60</v>
      </c>
      <c r="F3" s="56"/>
      <c r="G3" s="56"/>
      <c r="H3" s="56"/>
      <c r="I3" s="56"/>
      <c r="J3" s="56"/>
      <c r="K3" s="56"/>
      <c r="L3" s="56"/>
      <c r="M3" s="995" t="s">
        <v>4</v>
      </c>
      <c r="N3" s="82">
        <v>15</v>
      </c>
      <c r="O3" s="62"/>
    </row>
    <row r="4" spans="1:15" x14ac:dyDescent="0.25">
      <c r="A4" s="995" t="s">
        <v>5</v>
      </c>
      <c r="B4" s="271" t="str">
        <f>'SU A1100 '!B4</f>
        <v>Rear Uprights</v>
      </c>
      <c r="C4" s="56"/>
      <c r="D4" s="995" t="s">
        <v>8</v>
      </c>
      <c r="E4" s="56"/>
      <c r="F4" s="56"/>
      <c r="G4" s="56"/>
      <c r="H4" s="56"/>
      <c r="I4" s="56"/>
      <c r="J4" s="997" t="s">
        <v>6</v>
      </c>
      <c r="K4" s="56"/>
      <c r="L4" s="56"/>
      <c r="M4" s="56"/>
      <c r="N4" s="56"/>
      <c r="O4" s="62"/>
    </row>
    <row r="5" spans="1:15" x14ac:dyDescent="0.25">
      <c r="A5" s="995" t="s">
        <v>15</v>
      </c>
      <c r="B5" s="18" t="s">
        <v>436</v>
      </c>
      <c r="C5" s="56"/>
      <c r="D5" s="995" t="s">
        <v>12</v>
      </c>
      <c r="E5" s="56"/>
      <c r="F5" s="56"/>
      <c r="G5" s="56"/>
      <c r="H5" s="56"/>
      <c r="I5" s="56"/>
      <c r="J5" s="997" t="s">
        <v>8</v>
      </c>
      <c r="K5" s="56"/>
      <c r="L5" s="56"/>
      <c r="M5" s="995" t="s">
        <v>9</v>
      </c>
      <c r="N5" s="74">
        <f>N3*N2</f>
        <v>6.3682279999999993</v>
      </c>
      <c r="O5" s="62"/>
    </row>
    <row r="6" spans="1:15" x14ac:dyDescent="0.25">
      <c r="A6" s="995" t="s">
        <v>7</v>
      </c>
      <c r="B6" s="28" t="s">
        <v>510</v>
      </c>
      <c r="C6" s="56"/>
      <c r="D6" s="56"/>
      <c r="E6" s="56"/>
      <c r="F6" s="56"/>
      <c r="G6" s="56"/>
      <c r="H6" s="56"/>
      <c r="I6" s="56"/>
      <c r="J6" s="997" t="s">
        <v>12</v>
      </c>
      <c r="K6" s="56"/>
      <c r="L6" s="56"/>
      <c r="M6" s="56"/>
      <c r="N6" s="56"/>
      <c r="O6" s="62"/>
    </row>
    <row r="7" spans="1:15" x14ac:dyDescent="0.25">
      <c r="A7" s="995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95" t="s">
        <v>13</v>
      </c>
      <c r="B8" s="16" t="s">
        <v>490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998" t="s">
        <v>14</v>
      </c>
      <c r="B10" s="999" t="s">
        <v>19</v>
      </c>
      <c r="C10" s="999" t="s">
        <v>20</v>
      </c>
      <c r="D10" s="999" t="s">
        <v>21</v>
      </c>
      <c r="E10" s="999" t="s">
        <v>22</v>
      </c>
      <c r="F10" s="1000" t="s">
        <v>23</v>
      </c>
      <c r="G10" s="1000" t="s">
        <v>24</v>
      </c>
      <c r="H10" s="1000" t="s">
        <v>25</v>
      </c>
      <c r="I10" s="1000" t="s">
        <v>26</v>
      </c>
      <c r="J10" s="1000" t="s">
        <v>27</v>
      </c>
      <c r="K10" s="1000" t="s">
        <v>28</v>
      </c>
      <c r="L10" s="1000" t="s">
        <v>29</v>
      </c>
      <c r="M10" s="1000" t="s">
        <v>17</v>
      </c>
      <c r="N10" s="1000" t="s">
        <v>18</v>
      </c>
      <c r="O10" s="62"/>
    </row>
    <row r="11" spans="1:15" s="22" customFormat="1" ht="30" x14ac:dyDescent="0.25">
      <c r="A11" s="967">
        <v>10</v>
      </c>
      <c r="B11" s="766" t="s">
        <v>301</v>
      </c>
      <c r="C11" s="1005"/>
      <c r="D11" s="1026">
        <v>2.25</v>
      </c>
      <c r="E11" s="1022">
        <f>J11*K11*L11</f>
        <v>3.1651199999999997E-2</v>
      </c>
      <c r="F11" s="969" t="s">
        <v>141</v>
      </c>
      <c r="G11" s="969"/>
      <c r="H11" s="971"/>
      <c r="I11" s="830" t="s">
        <v>511</v>
      </c>
      <c r="J11" s="1023">
        <f>0.084*0.048</f>
        <v>4.032E-3</v>
      </c>
      <c r="K11" s="1024">
        <v>1E-3</v>
      </c>
      <c r="L11" s="981">
        <v>7850</v>
      </c>
      <c r="M11" s="982">
        <v>1</v>
      </c>
      <c r="N11" s="32">
        <f>D11*E11</f>
        <v>7.1215199999999992E-2</v>
      </c>
      <c r="O11" s="66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03">
        <f>N11*M11</f>
        <v>7.1215199999999992E-2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1043" t="s">
        <v>14</v>
      </c>
      <c r="B14" s="1000" t="s">
        <v>31</v>
      </c>
      <c r="C14" s="1000" t="s">
        <v>20</v>
      </c>
      <c r="D14" s="1000" t="s">
        <v>21</v>
      </c>
      <c r="E14" s="1000" t="s">
        <v>32</v>
      </c>
      <c r="F14" s="1000" t="s">
        <v>17</v>
      </c>
      <c r="G14" s="1000" t="s">
        <v>33</v>
      </c>
      <c r="H14" s="1000" t="s">
        <v>34</v>
      </c>
      <c r="I14" s="1000" t="s">
        <v>18</v>
      </c>
      <c r="J14" s="24"/>
      <c r="K14" s="24"/>
      <c r="L14" s="24"/>
      <c r="M14" s="24"/>
      <c r="N14" s="24"/>
      <c r="O14" s="62"/>
    </row>
    <row r="15" spans="1:15" s="25" customFormat="1" ht="30" x14ac:dyDescent="0.25">
      <c r="A15" s="1005">
        <v>10</v>
      </c>
      <c r="B15" s="1006" t="s">
        <v>457</v>
      </c>
      <c r="C15" s="1006" t="s">
        <v>471</v>
      </c>
      <c r="D15" s="1026">
        <v>1.3</v>
      </c>
      <c r="E15" s="1005" t="s">
        <v>32</v>
      </c>
      <c r="F15" s="1005">
        <v>1</v>
      </c>
      <c r="G15" s="1005" t="s">
        <v>512</v>
      </c>
      <c r="H15" s="1005">
        <f>1/30</f>
        <v>3.3333333333333333E-2</v>
      </c>
      <c r="I15" s="32">
        <f>IF(H15="",D15*F15,D15*F15*H15)</f>
        <v>4.3333333333333335E-2</v>
      </c>
      <c r="J15" s="58"/>
      <c r="K15" s="58"/>
      <c r="L15" s="58"/>
      <c r="M15" s="58"/>
      <c r="N15" s="58"/>
      <c r="O15" s="68"/>
    </row>
    <row r="16" spans="1:15" x14ac:dyDescent="0.25">
      <c r="A16" s="1005">
        <v>20</v>
      </c>
      <c r="B16" s="1006" t="s">
        <v>347</v>
      </c>
      <c r="C16" s="1006"/>
      <c r="D16" s="1026">
        <v>0.01</v>
      </c>
      <c r="E16" s="1005" t="s">
        <v>40</v>
      </c>
      <c r="F16" s="1005">
        <v>31</v>
      </c>
      <c r="G16" s="1005"/>
      <c r="H16" s="1005">
        <v>1</v>
      </c>
      <c r="I16" s="32">
        <f>F16*D16</f>
        <v>0.31</v>
      </c>
      <c r="J16" s="56"/>
      <c r="K16" s="56"/>
      <c r="L16" s="56"/>
      <c r="M16" s="56"/>
      <c r="N16" s="56"/>
      <c r="O16" s="62"/>
    </row>
    <row r="17" spans="1:15" x14ac:dyDescent="0.25">
      <c r="A17" s="67"/>
      <c r="B17" s="24"/>
      <c r="C17" s="24"/>
      <c r="D17" s="24"/>
      <c r="E17" s="24"/>
      <c r="F17" s="24"/>
      <c r="G17" s="24"/>
      <c r="H17" s="108" t="s">
        <v>18</v>
      </c>
      <c r="I17" s="1003">
        <f>SUM(I15:I16)</f>
        <v>0.35333333333333333</v>
      </c>
      <c r="J17" s="24"/>
      <c r="K17" s="24"/>
      <c r="L17" s="24"/>
      <c r="M17" s="24"/>
      <c r="N17" s="24"/>
      <c r="O17" s="62"/>
    </row>
    <row r="18" spans="1:15" x14ac:dyDescent="0.25">
      <c r="A18" s="63"/>
      <c r="B18" s="56"/>
      <c r="C18" s="56"/>
      <c r="D18" s="56"/>
      <c r="E18" s="56"/>
      <c r="F18" s="56"/>
      <c r="G18" s="56"/>
      <c r="H18" s="56"/>
      <c r="I18" s="57"/>
      <c r="J18" s="56"/>
      <c r="K18" s="56"/>
      <c r="L18" s="56"/>
      <c r="M18" s="56"/>
      <c r="N18" s="56"/>
      <c r="O18" s="62"/>
    </row>
    <row r="19" spans="1:15" ht="15.75" thickBot="1" x14ac:dyDescent="0.3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1004" display="Drawing" xr:uid="{00000000-0004-0000-8000-000000000000}"/>
    <hyperlink ref="G2" location="SU_A1100_BOM" display="Back to BOM" xr:uid="{00000000-0004-0000-8000-000001000000}"/>
    <hyperlink ref="B4" location="SU_A1100" display="SU_A1100" xr:uid="{00000000-0004-0000-80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8" firstPageNumber="0" fitToHeight="99" orientation="landscape" r:id="rId1"/>
  <headerFooter>
    <oddFooter>Page &amp;P</oddFooter>
  </headerFooter>
  <rowBreaks count="2" manualBreakCount="2">
    <brk id="19" max="16383" man="1"/>
    <brk id="53" max="16383" man="1"/>
  </rowBreaks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FFFF66"/>
    <pageSetUpPr fitToPage="1"/>
  </sheetPr>
  <dimension ref="A1:Q17"/>
  <sheetViews>
    <sheetView zoomScale="80" zoomScaleNormal="80" zoomScalePageLayoutView="70" workbookViewId="0">
      <selection activeCell="O27" sqref="O27"/>
    </sheetView>
  </sheetViews>
  <sheetFormatPr baseColWidth="10" defaultRowHeight="15" x14ac:dyDescent="0.25"/>
  <cols>
    <col min="2" max="2" width="28.7109375" customWidth="1"/>
    <col min="3" max="3" width="24.28515625" customWidth="1"/>
    <col min="9" max="9" width="15.28515625" customWidth="1"/>
    <col min="10" max="10" width="13.7109375" customWidth="1"/>
    <col min="17" max="17" width="12.85546875" bestFit="1" customWidth="1"/>
  </cols>
  <sheetData>
    <row r="1" spans="1:17" x14ac:dyDescent="0.25">
      <c r="A1" s="335"/>
      <c r="B1" s="336"/>
      <c r="C1" s="336"/>
      <c r="D1" s="336"/>
      <c r="E1" s="336"/>
      <c r="F1" s="336"/>
      <c r="G1" s="336"/>
      <c r="H1" s="336"/>
      <c r="I1" s="336"/>
      <c r="J1" s="336"/>
      <c r="K1" s="336"/>
      <c r="L1" s="336"/>
      <c r="M1" s="336"/>
      <c r="N1" s="336"/>
      <c r="O1" s="337"/>
    </row>
    <row r="2" spans="1:17" x14ac:dyDescent="0.25">
      <c r="A2" s="338" t="s">
        <v>0</v>
      </c>
      <c r="B2" s="339" t="s">
        <v>37</v>
      </c>
      <c r="C2" s="340"/>
      <c r="D2" s="340"/>
      <c r="E2" s="340"/>
      <c r="F2" s="340"/>
      <c r="G2" s="341" t="s">
        <v>62</v>
      </c>
      <c r="H2" s="340"/>
      <c r="I2" s="340"/>
      <c r="J2" s="342" t="s">
        <v>1</v>
      </c>
      <c r="K2" s="343">
        <v>81</v>
      </c>
      <c r="L2" s="340"/>
      <c r="M2" s="338" t="s">
        <v>16</v>
      </c>
      <c r="N2" s="344">
        <f>N12+I16</f>
        <v>0.47719727680000001</v>
      </c>
      <c r="O2" s="345"/>
    </row>
    <row r="3" spans="1:17" x14ac:dyDescent="0.25">
      <c r="A3" s="338" t="s">
        <v>3</v>
      </c>
      <c r="B3" s="339" t="str">
        <f>'SU A0100'!B3</f>
        <v>Suspension &amp; Shocks</v>
      </c>
      <c r="C3" s="340"/>
      <c r="D3" s="338" t="s">
        <v>6</v>
      </c>
      <c r="E3" s="382" t="s">
        <v>60</v>
      </c>
      <c r="F3" s="340"/>
      <c r="G3" s="340"/>
      <c r="H3" s="340"/>
      <c r="I3" s="340"/>
      <c r="J3" s="340"/>
      <c r="K3" s="340"/>
      <c r="L3" s="340"/>
      <c r="M3" s="338" t="s">
        <v>4</v>
      </c>
      <c r="N3" s="347">
        <v>2</v>
      </c>
      <c r="O3" s="345"/>
    </row>
    <row r="4" spans="1:17" x14ac:dyDescent="0.25">
      <c r="A4" s="338" t="s">
        <v>5</v>
      </c>
      <c r="B4" s="341" t="str">
        <f>'SU A0100'!B4</f>
        <v>Upper Front A-arm</v>
      </c>
      <c r="C4" s="340"/>
      <c r="D4" s="338" t="s">
        <v>8</v>
      </c>
      <c r="E4" s="340"/>
      <c r="F4" s="340"/>
      <c r="G4" s="340"/>
      <c r="H4" s="340"/>
      <c r="I4" s="340"/>
      <c r="J4" s="348" t="s">
        <v>6</v>
      </c>
      <c r="K4" s="340"/>
      <c r="L4" s="340"/>
      <c r="M4" s="340"/>
      <c r="N4" s="340"/>
      <c r="O4" s="345"/>
    </row>
    <row r="5" spans="1:17" x14ac:dyDescent="0.25">
      <c r="A5" s="338" t="s">
        <v>15</v>
      </c>
      <c r="B5" s="388" t="s">
        <v>69</v>
      </c>
      <c r="C5" s="340"/>
      <c r="D5" s="338" t="s">
        <v>12</v>
      </c>
      <c r="E5" s="340"/>
      <c r="F5" s="340"/>
      <c r="G5" s="340"/>
      <c r="H5" s="340"/>
      <c r="I5" s="340"/>
      <c r="J5" s="348" t="s">
        <v>8</v>
      </c>
      <c r="K5" s="340"/>
      <c r="L5" s="340"/>
      <c r="M5" s="338" t="s">
        <v>9</v>
      </c>
      <c r="N5" s="344">
        <f>N3*N2</f>
        <v>0.95439455360000003</v>
      </c>
      <c r="O5" s="345"/>
    </row>
    <row r="6" spans="1:17" x14ac:dyDescent="0.25">
      <c r="A6" s="338" t="s">
        <v>7</v>
      </c>
      <c r="B6" s="350" t="s">
        <v>120</v>
      </c>
      <c r="C6" s="340"/>
      <c r="D6" s="340"/>
      <c r="E6" s="340"/>
      <c r="F6" s="340"/>
      <c r="G6" s="340"/>
      <c r="H6" s="340"/>
      <c r="I6" s="340"/>
      <c r="J6" s="348" t="s">
        <v>12</v>
      </c>
      <c r="K6" s="340"/>
      <c r="L6" s="340"/>
      <c r="M6" s="340"/>
      <c r="N6" s="340"/>
      <c r="O6" s="345"/>
    </row>
    <row r="7" spans="1:17" x14ac:dyDescent="0.25">
      <c r="A7" s="338" t="s">
        <v>10</v>
      </c>
      <c r="B7" s="339" t="s">
        <v>11</v>
      </c>
      <c r="C7" s="340"/>
      <c r="D7" s="340"/>
      <c r="E7" s="340"/>
      <c r="F7" s="340"/>
      <c r="G7" s="340"/>
      <c r="H7" s="340"/>
      <c r="I7" s="340"/>
      <c r="J7" s="340"/>
      <c r="K7" s="340"/>
      <c r="L7" s="340"/>
      <c r="M7" s="340"/>
      <c r="N7" s="340"/>
      <c r="O7" s="345"/>
    </row>
    <row r="8" spans="1:17" x14ac:dyDescent="0.25">
      <c r="A8" s="338" t="s">
        <v>13</v>
      </c>
      <c r="B8" s="339"/>
      <c r="C8" s="340"/>
      <c r="D8" s="340"/>
      <c r="E8" s="340"/>
      <c r="F8" s="340"/>
      <c r="G8" s="340"/>
      <c r="H8" s="340"/>
      <c r="I8" s="340"/>
      <c r="J8" s="340"/>
      <c r="K8" s="340"/>
      <c r="L8" s="340"/>
      <c r="M8" s="340"/>
      <c r="N8" s="340"/>
      <c r="O8" s="345"/>
    </row>
    <row r="9" spans="1:17" x14ac:dyDescent="0.25">
      <c r="A9" s="351"/>
      <c r="B9" s="352"/>
      <c r="C9" s="352"/>
      <c r="D9" s="352"/>
      <c r="E9" s="352"/>
      <c r="F9" s="340"/>
      <c r="G9" s="340"/>
      <c r="H9" s="340"/>
      <c r="I9" s="340"/>
      <c r="J9" s="340"/>
      <c r="K9" s="340"/>
      <c r="L9" s="340"/>
      <c r="M9" s="340"/>
      <c r="N9" s="340"/>
      <c r="O9" s="345"/>
    </row>
    <row r="10" spans="1:17" x14ac:dyDescent="0.25">
      <c r="A10" s="353" t="s">
        <v>14</v>
      </c>
      <c r="B10" s="354" t="s">
        <v>19</v>
      </c>
      <c r="C10" s="354" t="s">
        <v>20</v>
      </c>
      <c r="D10" s="354" t="s">
        <v>21</v>
      </c>
      <c r="E10" s="354" t="s">
        <v>22</v>
      </c>
      <c r="F10" s="355" t="s">
        <v>23</v>
      </c>
      <c r="G10" s="355" t="s">
        <v>24</v>
      </c>
      <c r="H10" s="355" t="s">
        <v>25</v>
      </c>
      <c r="I10" s="355" t="s">
        <v>26</v>
      </c>
      <c r="J10" s="355" t="s">
        <v>27</v>
      </c>
      <c r="K10" s="355" t="s">
        <v>28</v>
      </c>
      <c r="L10" s="355" t="s">
        <v>29</v>
      </c>
      <c r="M10" s="355" t="s">
        <v>17</v>
      </c>
      <c r="N10" s="355" t="s">
        <v>18</v>
      </c>
      <c r="O10" s="345"/>
    </row>
    <row r="11" spans="1:17" s="180" customFormat="1" ht="17.45" customHeight="1" x14ac:dyDescent="0.25">
      <c r="A11" s="389">
        <v>10</v>
      </c>
      <c r="B11" s="390" t="s">
        <v>200</v>
      </c>
      <c r="C11" s="389" t="s">
        <v>201</v>
      </c>
      <c r="D11" s="391">
        <v>4.2</v>
      </c>
      <c r="E11" s="392">
        <v>12</v>
      </c>
      <c r="F11" s="389" t="s">
        <v>30</v>
      </c>
      <c r="G11" s="389"/>
      <c r="H11" s="393"/>
      <c r="I11" s="394" t="s">
        <v>549</v>
      </c>
      <c r="J11" s="395">
        <f>3.14*0.006^2</f>
        <v>1.1304E-4</v>
      </c>
      <c r="K11" s="396">
        <v>0.06</v>
      </c>
      <c r="L11" s="401">
        <v>2710</v>
      </c>
      <c r="M11" s="397">
        <v>1</v>
      </c>
      <c r="N11" s="334">
        <f>IF(J11="",D11*M11,D11*J11*K11*L11*M11)</f>
        <v>7.7197276800000006E-2</v>
      </c>
      <c r="O11" s="402"/>
    </row>
    <row r="12" spans="1:17" x14ac:dyDescent="0.25">
      <c r="A12" s="369"/>
      <c r="B12" s="370"/>
      <c r="C12" s="370"/>
      <c r="D12" s="370"/>
      <c r="E12" s="370"/>
      <c r="F12" s="370"/>
      <c r="G12" s="370"/>
      <c r="H12" s="370"/>
      <c r="I12" s="370"/>
      <c r="J12" s="370"/>
      <c r="K12" s="370"/>
      <c r="L12" s="370"/>
      <c r="M12" s="371" t="s">
        <v>18</v>
      </c>
      <c r="N12" s="372">
        <f>SUM(N11:N11)</f>
        <v>7.7197276800000006E-2</v>
      </c>
      <c r="O12" s="345"/>
    </row>
    <row r="13" spans="1:17" x14ac:dyDescent="0.25">
      <c r="A13" s="373"/>
      <c r="B13" s="340"/>
      <c r="C13" s="340"/>
      <c r="D13" s="340"/>
      <c r="E13" s="340"/>
      <c r="F13" s="340"/>
      <c r="G13" s="340"/>
      <c r="H13" s="340"/>
      <c r="I13" s="340"/>
      <c r="J13" s="340"/>
      <c r="K13" s="340"/>
      <c r="L13" s="340"/>
      <c r="M13" s="340"/>
      <c r="N13" s="340"/>
      <c r="O13" s="345"/>
      <c r="Q13" s="131"/>
    </row>
    <row r="14" spans="1:17" x14ac:dyDescent="0.25">
      <c r="A14" s="374" t="s">
        <v>14</v>
      </c>
      <c r="B14" s="355" t="s">
        <v>31</v>
      </c>
      <c r="C14" s="355" t="s">
        <v>20</v>
      </c>
      <c r="D14" s="355" t="s">
        <v>21</v>
      </c>
      <c r="E14" s="355" t="s">
        <v>32</v>
      </c>
      <c r="F14" s="355" t="s">
        <v>17</v>
      </c>
      <c r="G14" s="355" t="s">
        <v>33</v>
      </c>
      <c r="H14" s="355" t="s">
        <v>34</v>
      </c>
      <c r="I14" s="355" t="s">
        <v>18</v>
      </c>
      <c r="J14" s="370"/>
      <c r="K14" s="370"/>
      <c r="L14" s="370"/>
      <c r="M14" s="370"/>
      <c r="N14" s="370"/>
      <c r="O14" s="345"/>
    </row>
    <row r="15" spans="1:17" x14ac:dyDescent="0.25">
      <c r="A15" s="330">
        <v>10</v>
      </c>
      <c r="B15" s="327" t="s">
        <v>199</v>
      </c>
      <c r="C15" s="398"/>
      <c r="D15" s="399">
        <v>0.4</v>
      </c>
      <c r="E15" s="330" t="s">
        <v>40</v>
      </c>
      <c r="F15" s="330">
        <v>1</v>
      </c>
      <c r="G15" s="330"/>
      <c r="H15" s="330"/>
      <c r="I15" s="400">
        <f>IF(H15="",D15*F15,D15*F15*H15)</f>
        <v>0.4</v>
      </c>
      <c r="J15" s="376"/>
      <c r="K15" s="376"/>
      <c r="L15" s="376"/>
      <c r="M15" s="376"/>
      <c r="N15" s="376"/>
      <c r="O15" s="377"/>
    </row>
    <row r="16" spans="1:17" x14ac:dyDescent="0.25">
      <c r="A16" s="369"/>
      <c r="B16" s="370"/>
      <c r="C16" s="370"/>
      <c r="D16" s="370"/>
      <c r="E16" s="370"/>
      <c r="F16" s="370"/>
      <c r="G16" s="370"/>
      <c r="H16" s="378" t="s">
        <v>18</v>
      </c>
      <c r="I16" s="372">
        <f>SUM(I15:I15)</f>
        <v>0.4</v>
      </c>
      <c r="J16" s="370"/>
      <c r="K16" s="370"/>
      <c r="L16" s="370"/>
      <c r="M16" s="370"/>
      <c r="N16" s="370"/>
      <c r="O16" s="345"/>
    </row>
    <row r="17" spans="1:15" ht="15.75" thickBot="1" x14ac:dyDescent="0.3">
      <c r="A17" s="379"/>
      <c r="B17" s="380"/>
      <c r="C17" s="380"/>
      <c r="D17" s="380"/>
      <c r="E17" s="380"/>
      <c r="F17" s="380"/>
      <c r="G17" s="380"/>
      <c r="H17" s="380"/>
      <c r="I17" s="380"/>
      <c r="J17" s="380"/>
      <c r="K17" s="380"/>
      <c r="L17" s="380"/>
      <c r="M17" s="380"/>
      <c r="N17" s="380"/>
      <c r="O17" s="381"/>
    </row>
  </sheetData>
  <hyperlinks>
    <hyperlink ref="B4" location="'SU A0100'!A1" display="'SU A0100'!A1" xr:uid="{00000000-0004-0000-0C00-000000000000}"/>
    <hyperlink ref="E3" location="dSU_01007" display="Drawing" xr:uid="{00000000-0004-0000-0C00-000001000000}"/>
    <hyperlink ref="G2" location="SU_A0100_BOM" display="Back to BOM" xr:uid="{00000000-0004-0000-0C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  <drawing r:id="rId2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1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124</v>
      </c>
      <c r="B1" s="996" t="s">
        <v>516</v>
      </c>
    </row>
  </sheetData>
  <hyperlinks>
    <hyperlink ref="B1" location="SU_11004" display="SU_11004" xr:uid="{00000000-0004-0000-81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200-000000000000}">
  <sheetPr>
    <tabColor rgb="FFFFFF00"/>
    <pageSetUpPr fitToPage="1"/>
  </sheetPr>
  <dimension ref="A1:O49"/>
  <sheetViews>
    <sheetView zoomScale="75" zoomScaleNormal="75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35.28515625" customWidth="1"/>
    <col min="3" max="3" width="43.140625" customWidth="1"/>
    <col min="7" max="7" width="6.42578125" customWidth="1"/>
    <col min="8" max="8" width="9.140625" customWidth="1"/>
    <col min="9" max="9" width="13.7109375" customWidth="1"/>
    <col min="11" max="11" width="8.42578125" customWidth="1"/>
    <col min="12" max="12" width="7.42578125" customWidth="1"/>
    <col min="14" max="14" width="13" bestFit="1" customWidth="1"/>
    <col min="15" max="15" width="5.28515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SU_A1200_pa+SU_A1200_m+SU_A1200_p+SU_A1200_f</f>
        <v>23.479941973641726</v>
      </c>
      <c r="O2" s="62"/>
    </row>
    <row r="3" spans="1:15" x14ac:dyDescent="0.25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25">
      <c r="A4" s="95" t="s">
        <v>5</v>
      </c>
      <c r="B4" s="57" t="s">
        <v>403</v>
      </c>
      <c r="C4" s="704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62"/>
    </row>
    <row r="5" spans="1:15" x14ac:dyDescent="0.25">
      <c r="A5" s="95" t="s">
        <v>7</v>
      </c>
      <c r="B5" s="18" t="s">
        <v>519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80">
        <f>N2*SU_A1200_q</f>
        <v>46.959883947283451</v>
      </c>
      <c r="O5" s="62"/>
    </row>
    <row r="6" spans="1:15" x14ac:dyDescent="0.25">
      <c r="A6" s="95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62"/>
    </row>
    <row r="7" spans="1:15" x14ac:dyDescent="0.25">
      <c r="A7" s="95" t="s">
        <v>13</v>
      </c>
      <c r="B7" s="16" t="s">
        <v>520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633" t="s">
        <v>14</v>
      </c>
      <c r="B9" s="633" t="s">
        <v>15</v>
      </c>
      <c r="C9" s="633" t="s">
        <v>16</v>
      </c>
      <c r="D9" s="633" t="s">
        <v>17</v>
      </c>
      <c r="E9" s="633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671">
        <v>10</v>
      </c>
      <c r="B10" s="708" t="s">
        <v>402</v>
      </c>
      <c r="C10" s="277">
        <f>'SU 12001'!N2</f>
        <v>9.0687098494115101</v>
      </c>
      <c r="D10" s="709">
        <f>SU_12001_q</f>
        <v>1</v>
      </c>
      <c r="E10" s="277">
        <f>C10*D10</f>
        <v>9.0687098494115101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25">
      <c r="A11" s="671">
        <v>20</v>
      </c>
      <c r="B11" s="708" t="s">
        <v>401</v>
      </c>
      <c r="C11" s="277">
        <f>'SU 12002'!N2</f>
        <v>1.5833945082514056</v>
      </c>
      <c r="D11" s="709">
        <f>SU_12002_q</f>
        <v>2</v>
      </c>
      <c r="E11" s="277">
        <f t="shared" ref="E11:E13" si="0">C11*D11</f>
        <v>3.1667890165028112</v>
      </c>
      <c r="F11" s="56"/>
      <c r="G11" s="56"/>
      <c r="H11" s="56"/>
      <c r="I11" s="56"/>
      <c r="J11" s="56"/>
      <c r="K11" s="56"/>
      <c r="L11" s="56"/>
      <c r="M11" s="56"/>
      <c r="N11" s="56"/>
      <c r="O11" s="62"/>
    </row>
    <row r="12" spans="1:15" x14ac:dyDescent="0.25">
      <c r="A12" s="671">
        <v>30</v>
      </c>
      <c r="B12" s="1037" t="str">
        <f>'SU 12003'!B5</f>
        <v>Spacer 1</v>
      </c>
      <c r="C12" s="277">
        <f>'SU 12003'!N2</f>
        <v>0.34825628167808953</v>
      </c>
      <c r="D12" s="709">
        <f>SU_12003_q</f>
        <v>2</v>
      </c>
      <c r="E12" s="277">
        <f t="shared" si="0"/>
        <v>0.69651256335617906</v>
      </c>
      <c r="F12" s="56"/>
      <c r="G12" s="56"/>
      <c r="H12" s="56"/>
      <c r="I12" s="56"/>
      <c r="J12" s="56"/>
      <c r="K12" s="56"/>
      <c r="L12" s="56"/>
      <c r="M12" s="56"/>
      <c r="N12" s="56"/>
      <c r="O12" s="62"/>
    </row>
    <row r="13" spans="1:15" x14ac:dyDescent="0.25">
      <c r="A13" s="671">
        <v>30</v>
      </c>
      <c r="B13" s="1037" t="str">
        <f>'SU 12004'!B5</f>
        <v>Spacer 2</v>
      </c>
      <c r="C13" s="277">
        <f>'SU 12004'!N2</f>
        <v>0.34825628167808953</v>
      </c>
      <c r="D13" s="709">
        <f>SU_12003_q</f>
        <v>2</v>
      </c>
      <c r="E13" s="277">
        <f t="shared" si="0"/>
        <v>0.69651256335617906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x14ac:dyDescent="0.25">
      <c r="A14" s="63"/>
      <c r="B14" s="56"/>
      <c r="C14" s="56"/>
      <c r="D14" s="259" t="s">
        <v>18</v>
      </c>
      <c r="E14" s="238">
        <f>SUM(E10:E13)</f>
        <v>13.628523992626681</v>
      </c>
      <c r="F14" s="57"/>
      <c r="G14" s="57"/>
      <c r="H14" s="57"/>
      <c r="I14" s="57"/>
      <c r="J14" s="57"/>
      <c r="K14" s="57"/>
      <c r="L14" s="57"/>
      <c r="M14" s="57"/>
      <c r="N14" s="57"/>
      <c r="O14" s="62"/>
    </row>
    <row r="15" spans="1:15" x14ac:dyDescent="0.25">
      <c r="A15" s="63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62"/>
    </row>
    <row r="16" spans="1:15" x14ac:dyDescent="0.25">
      <c r="A16" s="95" t="s">
        <v>14</v>
      </c>
      <c r="B16" s="95" t="s">
        <v>19</v>
      </c>
      <c r="C16" s="95" t="s">
        <v>20</v>
      </c>
      <c r="D16" s="95" t="s">
        <v>21</v>
      </c>
      <c r="E16" s="95" t="s">
        <v>22</v>
      </c>
      <c r="F16" s="95" t="s">
        <v>23</v>
      </c>
      <c r="G16" s="95" t="s">
        <v>24</v>
      </c>
      <c r="H16" s="95" t="s">
        <v>25</v>
      </c>
      <c r="I16" s="95" t="s">
        <v>26</v>
      </c>
      <c r="J16" s="95" t="s">
        <v>27</v>
      </c>
      <c r="K16" s="95" t="s">
        <v>28</v>
      </c>
      <c r="L16" s="95" t="s">
        <v>29</v>
      </c>
      <c r="M16" s="95" t="s">
        <v>17</v>
      </c>
      <c r="N16" s="95" t="s">
        <v>18</v>
      </c>
      <c r="O16" s="62"/>
    </row>
    <row r="17" spans="1:15" x14ac:dyDescent="0.25">
      <c r="A17" s="72">
        <v>10</v>
      </c>
      <c r="B17" s="1049" t="s">
        <v>399</v>
      </c>
      <c r="C17" s="1049" t="s">
        <v>400</v>
      </c>
      <c r="D17" s="272">
        <f>0.02*E17^2+1.22</f>
        <v>2.5</v>
      </c>
      <c r="E17" s="1049">
        <v>8</v>
      </c>
      <c r="F17" s="1049" t="s">
        <v>30</v>
      </c>
      <c r="G17" s="1049"/>
      <c r="H17" s="874"/>
      <c r="I17" s="1050" t="s">
        <v>397</v>
      </c>
      <c r="J17" s="872"/>
      <c r="K17" s="874"/>
      <c r="L17" s="874"/>
      <c r="M17" s="872">
        <v>1</v>
      </c>
      <c r="N17" s="274">
        <f>D17*M17</f>
        <v>2.5</v>
      </c>
      <c r="O17" s="62"/>
    </row>
    <row r="18" spans="1:15" s="22" customFormat="1" x14ac:dyDescent="0.25">
      <c r="A18" s="72">
        <v>20</v>
      </c>
      <c r="B18" s="1049" t="s">
        <v>399</v>
      </c>
      <c r="C18" s="1049" t="s">
        <v>398</v>
      </c>
      <c r="D18" s="272">
        <f>0.02*E18^2+1.22</f>
        <v>2.5</v>
      </c>
      <c r="E18" s="1049">
        <v>8</v>
      </c>
      <c r="F18" s="1049" t="s">
        <v>30</v>
      </c>
      <c r="G18" s="1049"/>
      <c r="H18" s="874"/>
      <c r="I18" s="875" t="s">
        <v>397</v>
      </c>
      <c r="J18" s="872"/>
      <c r="K18" s="874"/>
      <c r="L18" s="873"/>
      <c r="M18" s="872">
        <v>1</v>
      </c>
      <c r="N18" s="274">
        <f>D18*M18</f>
        <v>2.5</v>
      </c>
      <c r="O18" s="66"/>
    </row>
    <row r="19" spans="1:15" x14ac:dyDescent="0.25">
      <c r="A19" s="67"/>
      <c r="B19" s="871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5" t="s">
        <v>18</v>
      </c>
      <c r="N19" s="97">
        <f>SUM(N17:N18)</f>
        <v>5</v>
      </c>
      <c r="O19" s="62"/>
    </row>
    <row r="20" spans="1:15" x14ac:dyDescent="0.25">
      <c r="A20" s="63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62"/>
    </row>
    <row r="21" spans="1:15" s="25" customFormat="1" x14ac:dyDescent="0.25">
      <c r="A21" s="95" t="s">
        <v>14</v>
      </c>
      <c r="B21" s="95" t="s">
        <v>31</v>
      </c>
      <c r="C21" s="95" t="s">
        <v>20</v>
      </c>
      <c r="D21" s="95" t="s">
        <v>21</v>
      </c>
      <c r="E21" s="95" t="s">
        <v>32</v>
      </c>
      <c r="F21" s="95" t="s">
        <v>17</v>
      </c>
      <c r="G21" s="95" t="s">
        <v>33</v>
      </c>
      <c r="H21" s="95" t="s">
        <v>34</v>
      </c>
      <c r="I21" s="95" t="s">
        <v>18</v>
      </c>
      <c r="J21" s="24"/>
      <c r="K21" s="24"/>
      <c r="L21" s="24"/>
      <c r="M21" s="24"/>
      <c r="N21" s="24"/>
      <c r="O21" s="68"/>
    </row>
    <row r="22" spans="1:15" x14ac:dyDescent="0.25">
      <c r="A22" s="72">
        <v>10</v>
      </c>
      <c r="B22" s="276" t="s">
        <v>76</v>
      </c>
      <c r="C22" s="869" t="s">
        <v>155</v>
      </c>
      <c r="D22" s="273">
        <v>0.02</v>
      </c>
      <c r="E22" s="869" t="s">
        <v>74</v>
      </c>
      <c r="F22" s="867">
        <v>6.6</v>
      </c>
      <c r="G22" s="870"/>
      <c r="H22" s="867">
        <v>1</v>
      </c>
      <c r="I22" s="273">
        <f>D22*F22*H22</f>
        <v>0.13200000000000001</v>
      </c>
      <c r="J22" s="56"/>
      <c r="K22" s="56"/>
      <c r="L22" s="56"/>
      <c r="M22" s="56"/>
      <c r="N22" s="56"/>
      <c r="O22" s="62"/>
    </row>
    <row r="23" spans="1:15" x14ac:dyDescent="0.25">
      <c r="A23" s="72">
        <f>A22+10</f>
        <v>20</v>
      </c>
      <c r="B23" s="276" t="s">
        <v>76</v>
      </c>
      <c r="C23" s="869" t="s">
        <v>396</v>
      </c>
      <c r="D23" s="273">
        <v>0.02</v>
      </c>
      <c r="E23" s="869" t="s">
        <v>74</v>
      </c>
      <c r="F23" s="867">
        <v>6.6</v>
      </c>
      <c r="G23" s="867"/>
      <c r="H23" s="867">
        <v>1</v>
      </c>
      <c r="I23" s="273">
        <f t="shared" ref="I23:I37" si="1">D23*F23*H23</f>
        <v>0.13200000000000001</v>
      </c>
      <c r="J23" s="56"/>
      <c r="K23" s="56"/>
      <c r="L23" s="56"/>
      <c r="M23" s="56"/>
      <c r="N23" s="56"/>
      <c r="O23" s="62"/>
    </row>
    <row r="24" spans="1:15" x14ac:dyDescent="0.25">
      <c r="A24" s="72">
        <f t="shared" ref="A24:A37" si="2">A23+10</f>
        <v>30</v>
      </c>
      <c r="B24" s="1051" t="s">
        <v>395</v>
      </c>
      <c r="C24" s="866" t="s">
        <v>394</v>
      </c>
      <c r="D24" s="74">
        <v>0.02</v>
      </c>
      <c r="E24" s="866" t="s">
        <v>393</v>
      </c>
      <c r="F24" s="867">
        <v>6.6</v>
      </c>
      <c r="G24" s="866"/>
      <c r="H24" s="866">
        <v>1</v>
      </c>
      <c r="I24" s="273">
        <f t="shared" si="1"/>
        <v>0.13200000000000001</v>
      </c>
      <c r="J24" s="56"/>
      <c r="K24" s="56"/>
      <c r="L24" s="56"/>
      <c r="M24" s="56"/>
      <c r="N24" s="56"/>
      <c r="O24" s="62"/>
    </row>
    <row r="25" spans="1:15" x14ac:dyDescent="0.25">
      <c r="A25" s="72">
        <f t="shared" si="2"/>
        <v>40</v>
      </c>
      <c r="B25" s="249" t="s">
        <v>289</v>
      </c>
      <c r="C25" s="1052" t="s">
        <v>392</v>
      </c>
      <c r="D25" s="74">
        <v>0.12</v>
      </c>
      <c r="E25" s="72" t="s">
        <v>35</v>
      </c>
      <c r="F25" s="72">
        <v>1</v>
      </c>
      <c r="G25" s="72"/>
      <c r="H25" s="72">
        <v>1</v>
      </c>
      <c r="I25" s="273">
        <f t="shared" si="1"/>
        <v>0.12</v>
      </c>
      <c r="J25" s="56"/>
      <c r="K25" s="56"/>
      <c r="L25" s="56"/>
      <c r="M25" s="56"/>
      <c r="N25" s="56"/>
      <c r="O25" s="62"/>
    </row>
    <row r="26" spans="1:15" x14ac:dyDescent="0.25">
      <c r="A26" s="72">
        <f t="shared" si="2"/>
        <v>50</v>
      </c>
      <c r="B26" s="249" t="s">
        <v>391</v>
      </c>
      <c r="C26" s="1052" t="s">
        <v>390</v>
      </c>
      <c r="D26" s="74">
        <v>0.5</v>
      </c>
      <c r="E26" s="865" t="s">
        <v>35</v>
      </c>
      <c r="F26" s="72">
        <v>1</v>
      </c>
      <c r="G26" s="72"/>
      <c r="H26" s="72">
        <v>1</v>
      </c>
      <c r="I26" s="273">
        <f t="shared" si="1"/>
        <v>0.5</v>
      </c>
      <c r="J26" s="56"/>
      <c r="K26" s="56"/>
      <c r="L26" s="56"/>
      <c r="M26" s="56"/>
      <c r="N26" s="56"/>
      <c r="O26" s="62"/>
    </row>
    <row r="27" spans="1:15" x14ac:dyDescent="0.25">
      <c r="A27" s="72">
        <f t="shared" si="2"/>
        <v>60</v>
      </c>
      <c r="B27" s="249" t="s">
        <v>389</v>
      </c>
      <c r="C27" s="1052" t="s">
        <v>293</v>
      </c>
      <c r="D27" s="74">
        <v>1.5</v>
      </c>
      <c r="E27" s="72" t="s">
        <v>35</v>
      </c>
      <c r="F27" s="72">
        <v>1</v>
      </c>
      <c r="G27" s="72"/>
      <c r="H27" s="72">
        <v>1</v>
      </c>
      <c r="I27" s="273">
        <f t="shared" si="1"/>
        <v>1.5</v>
      </c>
      <c r="J27" s="56"/>
      <c r="K27" s="56"/>
      <c r="L27" s="56"/>
      <c r="M27" s="56"/>
      <c r="N27" s="56"/>
      <c r="O27" s="62"/>
    </row>
    <row r="28" spans="1:15" x14ac:dyDescent="0.25">
      <c r="A28" s="72">
        <f t="shared" si="2"/>
        <v>70</v>
      </c>
      <c r="B28" s="249" t="s">
        <v>294</v>
      </c>
      <c r="C28" s="1052" t="s">
        <v>293</v>
      </c>
      <c r="D28" s="74">
        <v>0.25</v>
      </c>
      <c r="E28" s="72" t="s">
        <v>35</v>
      </c>
      <c r="F28" s="72">
        <v>1</v>
      </c>
      <c r="G28" s="72"/>
      <c r="H28" s="72">
        <v>1</v>
      </c>
      <c r="I28" s="273">
        <f t="shared" si="1"/>
        <v>0.25</v>
      </c>
      <c r="J28" s="56"/>
      <c r="K28" s="56"/>
      <c r="L28" s="56"/>
      <c r="M28" s="56"/>
      <c r="N28" s="56"/>
      <c r="O28" s="62"/>
    </row>
    <row r="29" spans="1:15" x14ac:dyDescent="0.25">
      <c r="A29" s="72">
        <f t="shared" si="2"/>
        <v>80</v>
      </c>
      <c r="B29" s="1052" t="s">
        <v>286</v>
      </c>
      <c r="C29" s="1052" t="s">
        <v>388</v>
      </c>
      <c r="D29" s="863">
        <v>0.06</v>
      </c>
      <c r="E29" s="1053" t="s">
        <v>35</v>
      </c>
      <c r="F29" s="72">
        <v>1</v>
      </c>
      <c r="G29" s="1053"/>
      <c r="H29" s="1053">
        <v>1</v>
      </c>
      <c r="I29" s="273">
        <f t="shared" si="1"/>
        <v>0.06</v>
      </c>
      <c r="J29" s="56"/>
      <c r="K29" s="56"/>
      <c r="L29" s="56"/>
      <c r="M29" s="56"/>
      <c r="N29" s="56"/>
      <c r="O29" s="62"/>
    </row>
    <row r="30" spans="1:15" x14ac:dyDescent="0.25">
      <c r="A30" s="72">
        <f t="shared" si="2"/>
        <v>90</v>
      </c>
      <c r="B30" s="1052" t="s">
        <v>286</v>
      </c>
      <c r="C30" s="1052" t="s">
        <v>325</v>
      </c>
      <c r="D30" s="863">
        <v>0.06</v>
      </c>
      <c r="E30" s="1053" t="s">
        <v>35</v>
      </c>
      <c r="F30" s="72">
        <v>1</v>
      </c>
      <c r="G30" s="1053"/>
      <c r="H30" s="1053">
        <v>1</v>
      </c>
      <c r="I30" s="273">
        <f t="shared" si="1"/>
        <v>0.06</v>
      </c>
      <c r="J30" s="56"/>
      <c r="K30" s="56"/>
      <c r="L30" s="56"/>
      <c r="M30" s="56"/>
      <c r="N30" s="56"/>
      <c r="O30" s="62"/>
    </row>
    <row r="31" spans="1:15" x14ac:dyDescent="0.25">
      <c r="A31" s="72">
        <f t="shared" si="2"/>
        <v>100</v>
      </c>
      <c r="B31" s="249" t="s">
        <v>289</v>
      </c>
      <c r="C31" s="1052" t="s">
        <v>387</v>
      </c>
      <c r="D31" s="863">
        <v>0.12</v>
      </c>
      <c r="E31" s="1053" t="s">
        <v>35</v>
      </c>
      <c r="F31" s="72">
        <v>1</v>
      </c>
      <c r="G31" s="1053"/>
      <c r="H31" s="1053">
        <v>1</v>
      </c>
      <c r="I31" s="273">
        <f t="shared" si="1"/>
        <v>0.12</v>
      </c>
      <c r="J31" s="56"/>
      <c r="K31" s="56"/>
      <c r="L31" s="56"/>
      <c r="M31" s="56"/>
      <c r="N31" s="56"/>
      <c r="O31" s="62"/>
    </row>
    <row r="32" spans="1:15" x14ac:dyDescent="0.25">
      <c r="A32" s="72">
        <f t="shared" si="2"/>
        <v>110</v>
      </c>
      <c r="B32" s="1053" t="s">
        <v>286</v>
      </c>
      <c r="C32" s="1052" t="s">
        <v>386</v>
      </c>
      <c r="D32" s="863">
        <v>0.06</v>
      </c>
      <c r="E32" s="1053" t="s">
        <v>35</v>
      </c>
      <c r="F32" s="72">
        <v>1</v>
      </c>
      <c r="G32" s="1053"/>
      <c r="H32" s="1053">
        <v>1</v>
      </c>
      <c r="I32" s="273">
        <f t="shared" si="1"/>
        <v>0.06</v>
      </c>
      <c r="J32" s="56"/>
      <c r="K32" s="56"/>
      <c r="L32" s="56"/>
      <c r="M32" s="56"/>
      <c r="N32" s="56"/>
      <c r="O32" s="62"/>
    </row>
    <row r="33" spans="1:15" s="17" customFormat="1" x14ac:dyDescent="0.25">
      <c r="A33" s="72">
        <f t="shared" si="2"/>
        <v>120</v>
      </c>
      <c r="B33" s="1053" t="s">
        <v>286</v>
      </c>
      <c r="C33" s="1052" t="s">
        <v>385</v>
      </c>
      <c r="D33" s="863">
        <v>0.06</v>
      </c>
      <c r="E33" s="1053" t="s">
        <v>35</v>
      </c>
      <c r="F33" s="72">
        <v>1</v>
      </c>
      <c r="G33" s="1053"/>
      <c r="H33" s="1053">
        <v>1</v>
      </c>
      <c r="I33" s="273">
        <f t="shared" si="1"/>
        <v>0.06</v>
      </c>
      <c r="J33" s="57"/>
      <c r="K33" s="57"/>
      <c r="L33" s="57"/>
      <c r="M33" s="57"/>
      <c r="N33" s="57"/>
      <c r="O33" s="65"/>
    </row>
    <row r="34" spans="1:15" s="25" customFormat="1" x14ac:dyDescent="0.25">
      <c r="A34" s="72">
        <f t="shared" si="2"/>
        <v>130</v>
      </c>
      <c r="B34" s="249" t="s">
        <v>289</v>
      </c>
      <c r="C34" s="1052" t="s">
        <v>384</v>
      </c>
      <c r="D34" s="863">
        <v>0.12</v>
      </c>
      <c r="E34" s="1053" t="s">
        <v>35</v>
      </c>
      <c r="F34" s="72">
        <v>1</v>
      </c>
      <c r="G34" s="1053"/>
      <c r="H34" s="1053">
        <v>1</v>
      </c>
      <c r="I34" s="273">
        <f t="shared" si="1"/>
        <v>0.12</v>
      </c>
      <c r="J34" s="57"/>
      <c r="K34" s="57"/>
      <c r="L34" s="57"/>
      <c r="M34" s="57"/>
      <c r="N34" s="57"/>
      <c r="O34" s="68"/>
    </row>
    <row r="35" spans="1:15" s="25" customFormat="1" x14ac:dyDescent="0.25">
      <c r="A35" s="72">
        <f t="shared" si="2"/>
        <v>140</v>
      </c>
      <c r="B35" s="249" t="s">
        <v>289</v>
      </c>
      <c r="C35" s="1052" t="s">
        <v>291</v>
      </c>
      <c r="D35" s="863">
        <v>0.12</v>
      </c>
      <c r="E35" s="1053" t="s">
        <v>35</v>
      </c>
      <c r="F35" s="72">
        <v>1</v>
      </c>
      <c r="G35" s="1053"/>
      <c r="H35" s="1053">
        <v>1</v>
      </c>
      <c r="I35" s="273">
        <f t="shared" si="1"/>
        <v>0.12</v>
      </c>
      <c r="J35" s="57"/>
      <c r="K35" s="57"/>
      <c r="L35" s="57"/>
      <c r="M35" s="57"/>
      <c r="N35" s="57"/>
      <c r="O35" s="68"/>
    </row>
    <row r="36" spans="1:15" s="17" customFormat="1" ht="14.45" customHeight="1" x14ac:dyDescent="0.25">
      <c r="A36" s="72">
        <f t="shared" si="2"/>
        <v>150</v>
      </c>
      <c r="B36" s="249" t="s">
        <v>292</v>
      </c>
      <c r="C36" s="1052" t="s">
        <v>293</v>
      </c>
      <c r="D36" s="863">
        <v>0.75</v>
      </c>
      <c r="E36" s="1053" t="s">
        <v>35</v>
      </c>
      <c r="F36" s="72">
        <v>1</v>
      </c>
      <c r="G36" s="1053"/>
      <c r="H36" s="1053">
        <v>1</v>
      </c>
      <c r="I36" s="273">
        <f t="shared" si="1"/>
        <v>0.75</v>
      </c>
      <c r="J36" s="57"/>
      <c r="K36" s="57"/>
      <c r="L36" s="57"/>
      <c r="M36" s="57"/>
      <c r="N36" s="57"/>
      <c r="O36" s="65"/>
    </row>
    <row r="37" spans="1:15" s="17" customFormat="1" ht="14.45" customHeight="1" x14ac:dyDescent="0.25">
      <c r="A37" s="72">
        <f t="shared" si="2"/>
        <v>160</v>
      </c>
      <c r="B37" s="249" t="s">
        <v>294</v>
      </c>
      <c r="C37" s="1052" t="s">
        <v>293</v>
      </c>
      <c r="D37" s="863">
        <v>0.25</v>
      </c>
      <c r="E37" s="1053" t="s">
        <v>35</v>
      </c>
      <c r="F37" s="72">
        <v>1</v>
      </c>
      <c r="G37" s="1053"/>
      <c r="H37" s="1053">
        <v>1</v>
      </c>
      <c r="I37" s="273">
        <f t="shared" si="1"/>
        <v>0.25</v>
      </c>
      <c r="J37" s="57"/>
      <c r="K37" s="57"/>
      <c r="L37" s="57"/>
      <c r="M37" s="57"/>
      <c r="N37" s="57"/>
      <c r="O37" s="65"/>
    </row>
    <row r="38" spans="1:15" x14ac:dyDescent="0.25">
      <c r="A38" s="67"/>
      <c r="B38" s="24"/>
      <c r="C38" s="24"/>
      <c r="D38" s="24"/>
      <c r="E38" s="24"/>
      <c r="F38" s="24"/>
      <c r="G38" s="24"/>
      <c r="H38" s="98" t="s">
        <v>18</v>
      </c>
      <c r="I38" s="97">
        <f>SUM(I22:I37)</f>
        <v>4.3660000000000005</v>
      </c>
      <c r="J38" s="56"/>
      <c r="K38" s="56"/>
      <c r="L38" s="56"/>
      <c r="M38" s="56"/>
      <c r="N38" s="56"/>
      <c r="O38" s="62"/>
    </row>
    <row r="39" spans="1:15" x14ac:dyDescent="0.25">
      <c r="A39" s="63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62"/>
    </row>
    <row r="40" spans="1:15" x14ac:dyDescent="0.25">
      <c r="A40" s="95" t="s">
        <v>14</v>
      </c>
      <c r="B40" s="95" t="s">
        <v>36</v>
      </c>
      <c r="C40" s="95" t="s">
        <v>20</v>
      </c>
      <c r="D40" s="95" t="s">
        <v>21</v>
      </c>
      <c r="E40" s="95" t="s">
        <v>22</v>
      </c>
      <c r="F40" s="95" t="s">
        <v>23</v>
      </c>
      <c r="G40" s="95" t="s">
        <v>24</v>
      </c>
      <c r="H40" s="95" t="s">
        <v>25</v>
      </c>
      <c r="I40" s="95" t="s">
        <v>17</v>
      </c>
      <c r="J40" s="95" t="s">
        <v>18</v>
      </c>
      <c r="K40" s="56"/>
      <c r="L40" s="56"/>
      <c r="M40" s="56"/>
      <c r="N40" s="56"/>
      <c r="O40" s="62"/>
    </row>
    <row r="41" spans="1:15" x14ac:dyDescent="0.25">
      <c r="A41" s="72">
        <v>10</v>
      </c>
      <c r="B41" s="72" t="s">
        <v>295</v>
      </c>
      <c r="C41" s="72" t="s">
        <v>383</v>
      </c>
      <c r="D41" s="659">
        <f>0.8/105154*E41^2*G41*SQRT(G41)+0.003*EXP(0.319*E41)</f>
        <v>0.18547981844542938</v>
      </c>
      <c r="E41" s="660">
        <v>8</v>
      </c>
      <c r="F41" s="660" t="s">
        <v>30</v>
      </c>
      <c r="G41" s="660">
        <v>45</v>
      </c>
      <c r="H41" s="660" t="s">
        <v>30</v>
      </c>
      <c r="I41" s="82">
        <v>1</v>
      </c>
      <c r="J41" s="74">
        <f>D41*I41</f>
        <v>0.18547981844542938</v>
      </c>
      <c r="K41" s="56"/>
      <c r="L41" s="56"/>
      <c r="M41" s="56"/>
      <c r="N41" s="56"/>
      <c r="O41" s="62"/>
    </row>
    <row r="42" spans="1:15" x14ac:dyDescent="0.25">
      <c r="A42" s="72">
        <f>A41+10</f>
        <v>20</v>
      </c>
      <c r="B42" s="72" t="s">
        <v>295</v>
      </c>
      <c r="C42" s="72" t="s">
        <v>382</v>
      </c>
      <c r="D42" s="659">
        <f>0.8/105154*E42^2*G42*SQRT(G42)+0.003*EXP(0.319*E42)</f>
        <v>0.18547981844542938</v>
      </c>
      <c r="E42" s="660">
        <v>8</v>
      </c>
      <c r="F42" s="660" t="s">
        <v>30</v>
      </c>
      <c r="G42" s="660">
        <v>45</v>
      </c>
      <c r="H42" s="660" t="s">
        <v>30</v>
      </c>
      <c r="I42" s="82">
        <v>1</v>
      </c>
      <c r="J42" s="74">
        <f t="shared" ref="J42:J45" si="3">D42*I42</f>
        <v>0.18547981844542938</v>
      </c>
      <c r="K42" s="56"/>
      <c r="L42" s="56"/>
      <c r="M42" s="56"/>
      <c r="N42" s="56"/>
      <c r="O42" s="62"/>
    </row>
    <row r="43" spans="1:15" x14ac:dyDescent="0.25">
      <c r="A43" s="72">
        <f t="shared" ref="A43:A45" si="4">A42+10</f>
        <v>30</v>
      </c>
      <c r="B43" s="72" t="s">
        <v>297</v>
      </c>
      <c r="C43" s="72"/>
      <c r="D43" s="659">
        <v>0.01</v>
      </c>
      <c r="E43" s="72">
        <v>8</v>
      </c>
      <c r="F43" s="661" t="s">
        <v>35</v>
      </c>
      <c r="G43" s="72"/>
      <c r="H43" s="72"/>
      <c r="I43" s="82">
        <v>4</v>
      </c>
      <c r="J43" s="74">
        <f t="shared" si="3"/>
        <v>0.04</v>
      </c>
      <c r="K43" s="56"/>
      <c r="L43" s="56"/>
      <c r="M43" s="56"/>
      <c r="N43" s="56"/>
      <c r="O43" s="62"/>
    </row>
    <row r="44" spans="1:15" x14ac:dyDescent="0.25">
      <c r="A44" s="72">
        <f t="shared" si="4"/>
        <v>40</v>
      </c>
      <c r="B44" s="72" t="s">
        <v>298</v>
      </c>
      <c r="C44" s="72" t="s">
        <v>381</v>
      </c>
      <c r="D44" s="659">
        <f>0.009*EXP(0.2*E44)</f>
        <v>2.9881052304628931E-2</v>
      </c>
      <c r="E44" s="72">
        <v>6</v>
      </c>
      <c r="F44" s="661" t="s">
        <v>30</v>
      </c>
      <c r="G44" s="72"/>
      <c r="H44" s="72"/>
      <c r="I44" s="82">
        <v>1</v>
      </c>
      <c r="J44" s="74">
        <f t="shared" si="3"/>
        <v>2.9881052304628931E-2</v>
      </c>
      <c r="K44" s="56"/>
      <c r="L44" s="56"/>
      <c r="M44" s="56"/>
      <c r="N44" s="56"/>
      <c r="O44" s="62"/>
    </row>
    <row r="45" spans="1:15" x14ac:dyDescent="0.25">
      <c r="A45" s="72">
        <f t="shared" si="4"/>
        <v>50</v>
      </c>
      <c r="B45" s="72" t="s">
        <v>298</v>
      </c>
      <c r="C45" s="72" t="s">
        <v>380</v>
      </c>
      <c r="D45" s="659">
        <f>0.009*EXP(0.2*E45)</f>
        <v>4.4577291819556032E-2</v>
      </c>
      <c r="E45" s="72">
        <v>8</v>
      </c>
      <c r="F45" s="661" t="s">
        <v>30</v>
      </c>
      <c r="G45" s="72"/>
      <c r="H45" s="72"/>
      <c r="I45" s="82">
        <v>1</v>
      </c>
      <c r="J45" s="74">
        <f t="shared" si="3"/>
        <v>4.4577291819556032E-2</v>
      </c>
      <c r="K45" s="56"/>
      <c r="L45" s="56"/>
      <c r="M45" s="56"/>
      <c r="N45" s="56"/>
      <c r="O45" s="62"/>
    </row>
    <row r="46" spans="1:15" x14ac:dyDescent="0.25">
      <c r="A46" s="67"/>
      <c r="B46" s="24"/>
      <c r="C46" s="24"/>
      <c r="D46" s="24"/>
      <c r="E46" s="24"/>
      <c r="F46" s="24"/>
      <c r="G46" s="24"/>
      <c r="H46" s="24"/>
      <c r="I46" s="98" t="s">
        <v>18</v>
      </c>
      <c r="J46" s="97">
        <f>SUM(J41:J45)</f>
        <v>0.48541798101504374</v>
      </c>
      <c r="K46" s="56"/>
      <c r="L46" s="56"/>
      <c r="M46" s="56"/>
      <c r="N46" s="56"/>
      <c r="O46" s="62"/>
    </row>
    <row r="47" spans="1:15" x14ac:dyDescent="0.25">
      <c r="A47" s="63"/>
      <c r="B47" s="56"/>
      <c r="C47" s="56"/>
      <c r="D47" s="56"/>
      <c r="E47" s="56"/>
      <c r="F47" s="56"/>
      <c r="G47" s="56"/>
      <c r="H47" s="56"/>
      <c r="I47" s="56"/>
      <c r="J47" s="56"/>
      <c r="K47" s="56"/>
      <c r="L47" s="56"/>
      <c r="M47" s="56"/>
      <c r="N47" s="56"/>
      <c r="O47" s="62"/>
    </row>
    <row r="48" spans="1:15" ht="15.75" thickBot="1" x14ac:dyDescent="0.3">
      <c r="A48" s="69"/>
      <c r="B48" s="70"/>
      <c r="C48" s="70"/>
      <c r="D48" s="70"/>
      <c r="E48" s="70"/>
      <c r="F48" s="70"/>
      <c r="G48" s="70"/>
      <c r="H48" s="70"/>
      <c r="I48" s="70"/>
      <c r="J48" s="70"/>
      <c r="K48" s="70"/>
      <c r="L48" s="70"/>
      <c r="M48" s="70"/>
      <c r="N48" s="70"/>
      <c r="O48" s="71"/>
    </row>
    <row r="49" spans="1:14" x14ac:dyDescent="0.25">
      <c r="A49" s="56"/>
      <c r="B49" s="56"/>
      <c r="C49" s="56"/>
      <c r="D49" s="56"/>
      <c r="E49" s="56"/>
      <c r="F49" s="56"/>
      <c r="G49" s="56"/>
      <c r="H49" s="56"/>
      <c r="I49" s="56"/>
      <c r="J49" s="56"/>
      <c r="K49" s="56"/>
      <c r="L49" s="56"/>
      <c r="M49" s="56"/>
      <c r="N49" s="56"/>
    </row>
  </sheetData>
  <hyperlinks>
    <hyperlink ref="B13" location="SU_12004" display="SU_12004" xr:uid="{00000000-0004-0000-8200-000000000000}"/>
    <hyperlink ref="B10" location="SU_12001" display="Pullrod tube" xr:uid="{00000000-0004-0000-8200-000001000000}"/>
    <hyperlink ref="B11" location="SU_12002" display="Pullrod insert" xr:uid="{00000000-0004-0000-8200-000002000000}"/>
    <hyperlink ref="B12" location="SU_12003" display="SU_12003" xr:uid="{00000000-0004-0000-8200-000003000000}"/>
    <hyperlink ref="E2" location="SU_A1200_BOM" display="Back to BOM" xr:uid="{00000000-0004-0000-8200-000004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2" firstPageNumber="0" fitToHeight="99" orientation="landscape" r:id="rId1"/>
  <headerFooter>
    <oddFooter>Page &amp;P</oddFooter>
  </headerFooter>
  <rowBreaks count="1" manualBreakCount="1">
    <brk id="48" max="16383" man="1"/>
  </rowBreaks>
</worksheet>
</file>

<file path=xl/worksheets/sheet1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300-000000000000}">
  <sheetPr>
    <tabColor rgb="FFFFFF00"/>
    <pageSetUpPr fitToPage="1"/>
  </sheetPr>
  <dimension ref="A1:O279"/>
  <sheetViews>
    <sheetView zoomScale="70" zoomScaleNormal="70" zoomScalePageLayoutView="70" workbookViewId="0">
      <selection activeCell="B6" sqref="B6"/>
    </sheetView>
  </sheetViews>
  <sheetFormatPr baseColWidth="10" defaultRowHeight="15" x14ac:dyDescent="0.25"/>
  <cols>
    <col min="2" max="2" width="31.85546875" customWidth="1"/>
    <col min="3" max="3" width="28.7109375" customWidth="1"/>
    <col min="7" max="7" width="40.28515625" customWidth="1"/>
    <col min="9" max="9" width="31.7109375" customWidth="1"/>
    <col min="10" max="10" width="13.5703125" customWidth="1"/>
  </cols>
  <sheetData>
    <row r="1" spans="1:15" x14ac:dyDescent="0.25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25">
      <c r="A2" s="1054" t="s">
        <v>0</v>
      </c>
      <c r="B2" s="16" t="s">
        <v>37</v>
      </c>
      <c r="C2" s="1055"/>
      <c r="D2" s="1055"/>
      <c r="E2" s="1055"/>
      <c r="F2" s="87" t="s">
        <v>62</v>
      </c>
      <c r="G2" s="1055"/>
      <c r="H2" s="1055"/>
      <c r="I2" s="1055"/>
      <c r="J2" s="1056" t="s">
        <v>1</v>
      </c>
      <c r="K2" s="1057">
        <v>81</v>
      </c>
      <c r="L2" s="1055"/>
      <c r="M2" s="1058" t="s">
        <v>16</v>
      </c>
      <c r="N2" s="1059">
        <f>SU_12001_m+SU_12001_p</f>
        <v>9.0687098494115101</v>
      </c>
      <c r="O2" s="264"/>
    </row>
    <row r="3" spans="1:15" x14ac:dyDescent="0.25">
      <c r="A3" s="1060" t="s">
        <v>3</v>
      </c>
      <c r="B3" s="16" t="str">
        <f>'SU A1200'!B3</f>
        <v>Suspension &amp; Shocks</v>
      </c>
      <c r="C3" s="1055"/>
      <c r="D3" s="1058" t="s">
        <v>6</v>
      </c>
      <c r="E3" s="87"/>
      <c r="F3" s="1055"/>
      <c r="G3" s="1055"/>
      <c r="H3" s="1055"/>
      <c r="I3" s="1055"/>
      <c r="J3" s="1055"/>
      <c r="K3" s="1055"/>
      <c r="L3" s="1055"/>
      <c r="M3" s="1061" t="s">
        <v>4</v>
      </c>
      <c r="N3" s="1062">
        <v>1</v>
      </c>
      <c r="O3" s="264"/>
    </row>
    <row r="4" spans="1:15" x14ac:dyDescent="0.25">
      <c r="A4" s="1060" t="s">
        <v>5</v>
      </c>
      <c r="B4" s="87" t="str">
        <f>'SU A1200'!B4</f>
        <v>Front Pullrod</v>
      </c>
      <c r="C4" s="1055"/>
      <c r="D4" s="1061" t="s">
        <v>8</v>
      </c>
      <c r="E4" s="1055"/>
      <c r="F4" s="1055"/>
      <c r="G4" s="1055"/>
      <c r="H4" s="1055"/>
      <c r="I4" s="1055"/>
      <c r="J4" s="1058" t="s">
        <v>6</v>
      </c>
      <c r="K4" s="1055"/>
      <c r="L4" s="1055"/>
      <c r="M4" s="1055"/>
      <c r="N4" s="1055"/>
      <c r="O4" s="264"/>
    </row>
    <row r="5" spans="1:15" x14ac:dyDescent="0.25">
      <c r="A5" s="1060" t="s">
        <v>15</v>
      </c>
      <c r="B5" s="736" t="s">
        <v>402</v>
      </c>
      <c r="C5" s="1055"/>
      <c r="D5" s="1061" t="s">
        <v>12</v>
      </c>
      <c r="E5" s="1055"/>
      <c r="F5" s="1055"/>
      <c r="G5" s="1055"/>
      <c r="H5" s="1055"/>
      <c r="I5" s="1055"/>
      <c r="J5" s="1061" t="s">
        <v>8</v>
      </c>
      <c r="K5" s="1055"/>
      <c r="L5" s="1055"/>
      <c r="M5" s="1058" t="s">
        <v>9</v>
      </c>
      <c r="N5" s="1059">
        <f>N2*SU_12001_q</f>
        <v>9.0687098494115101</v>
      </c>
      <c r="O5" s="264"/>
    </row>
    <row r="6" spans="1:15" x14ac:dyDescent="0.25">
      <c r="A6" s="1060" t="s">
        <v>7</v>
      </c>
      <c r="B6" s="56" t="s">
        <v>521</v>
      </c>
      <c r="C6" s="1055"/>
      <c r="D6" s="1055"/>
      <c r="E6" s="1055"/>
      <c r="F6" s="1055"/>
      <c r="G6" s="1055"/>
      <c r="H6" s="1055"/>
      <c r="I6" s="1055"/>
      <c r="J6" s="1061" t="s">
        <v>12</v>
      </c>
      <c r="K6" s="1055"/>
      <c r="L6" s="1055"/>
      <c r="M6" s="1055"/>
      <c r="N6" s="1055"/>
      <c r="O6" s="264"/>
    </row>
    <row r="7" spans="1:15" x14ac:dyDescent="0.25">
      <c r="A7" s="1060" t="s">
        <v>10</v>
      </c>
      <c r="B7" s="16" t="s">
        <v>11</v>
      </c>
      <c r="C7" s="1055"/>
      <c r="D7" s="1055"/>
      <c r="E7" s="1055"/>
      <c r="F7" s="1055"/>
      <c r="G7" s="1055"/>
      <c r="H7" s="1055"/>
      <c r="I7" s="1055"/>
      <c r="J7" s="1055"/>
      <c r="K7" s="1055"/>
      <c r="L7" s="1055"/>
      <c r="M7" s="1055"/>
      <c r="N7" s="1055"/>
      <c r="O7" s="264"/>
    </row>
    <row r="8" spans="1:15" x14ac:dyDescent="0.25">
      <c r="A8" s="1060" t="s">
        <v>13</v>
      </c>
      <c r="B8" s="16"/>
      <c r="C8" s="1055"/>
      <c r="D8" s="1055"/>
      <c r="E8" s="1055"/>
      <c r="F8" s="1055"/>
      <c r="G8" s="1055"/>
      <c r="H8" s="1055"/>
      <c r="I8" s="1055"/>
      <c r="J8" s="1055"/>
      <c r="K8" s="1055"/>
      <c r="L8" s="1055"/>
      <c r="M8" s="1055"/>
      <c r="N8" s="1055"/>
      <c r="O8" s="264"/>
    </row>
    <row r="9" spans="1:15" x14ac:dyDescent="0.25">
      <c r="A9" s="1063"/>
      <c r="B9" s="1055"/>
      <c r="C9" s="1055"/>
      <c r="D9" s="1055"/>
      <c r="E9" s="1055"/>
      <c r="F9" s="1055"/>
      <c r="G9" s="1055"/>
      <c r="H9" s="1055"/>
      <c r="I9" s="1055"/>
      <c r="J9" s="1055"/>
      <c r="K9" s="1055"/>
      <c r="L9" s="1055"/>
      <c r="M9" s="1055"/>
      <c r="N9" s="1055"/>
      <c r="O9" s="264"/>
    </row>
    <row r="10" spans="1:15" x14ac:dyDescent="0.25">
      <c r="A10" s="1064" t="s">
        <v>14</v>
      </c>
      <c r="B10" s="1065" t="s">
        <v>19</v>
      </c>
      <c r="C10" s="1065" t="s">
        <v>20</v>
      </c>
      <c r="D10" s="1065" t="s">
        <v>21</v>
      </c>
      <c r="E10" s="1065" t="s">
        <v>22</v>
      </c>
      <c r="F10" s="1065" t="s">
        <v>23</v>
      </c>
      <c r="G10" s="1065" t="s">
        <v>24</v>
      </c>
      <c r="H10" s="1065" t="s">
        <v>25</v>
      </c>
      <c r="I10" s="1065" t="s">
        <v>26</v>
      </c>
      <c r="J10" s="1065" t="s">
        <v>27</v>
      </c>
      <c r="K10" s="1065" t="s">
        <v>28</v>
      </c>
      <c r="L10" s="1065" t="s">
        <v>29</v>
      </c>
      <c r="M10" s="1065" t="s">
        <v>17</v>
      </c>
      <c r="N10" s="1065" t="s">
        <v>18</v>
      </c>
      <c r="O10" s="264"/>
    </row>
    <row r="11" spans="1:15" ht="15" customHeight="1" x14ac:dyDescent="0.25">
      <c r="A11" s="1066">
        <v>10</v>
      </c>
      <c r="B11" s="796" t="s">
        <v>408</v>
      </c>
      <c r="C11" s="1067" t="s">
        <v>407</v>
      </c>
      <c r="D11" s="1068">
        <v>200</v>
      </c>
      <c r="E11" s="1069">
        <f>J11*K11*L11</f>
        <v>4.0305377108495605E-2</v>
      </c>
      <c r="F11" s="1070" t="s">
        <v>141</v>
      </c>
      <c r="G11" s="1070"/>
      <c r="H11" s="1071"/>
      <c r="I11" s="1072" t="s">
        <v>406</v>
      </c>
      <c r="J11" s="1072">
        <f>PI()*((8*10^-3)^2-(6*10^-3)^2)</f>
        <v>8.7964594300514196E-5</v>
      </c>
      <c r="K11" s="1073">
        <v>0.28999999999999998</v>
      </c>
      <c r="L11" s="1074">
        <v>1580</v>
      </c>
      <c r="M11" s="1074">
        <v>1</v>
      </c>
      <c r="N11" s="1068">
        <f>D11*E11</f>
        <v>8.0610754216991207</v>
      </c>
      <c r="O11" s="264"/>
    </row>
    <row r="12" spans="1:15" x14ac:dyDescent="0.25">
      <c r="A12" s="1075"/>
      <c r="B12" s="1076"/>
      <c r="C12" s="1076"/>
      <c r="D12" s="1076"/>
      <c r="E12" s="1076"/>
      <c r="F12" s="1076"/>
      <c r="G12" s="1076"/>
      <c r="H12" s="1076"/>
      <c r="I12" s="1076"/>
      <c r="J12" s="1076"/>
      <c r="K12" s="1076"/>
      <c r="L12" s="1076"/>
      <c r="M12" s="1077" t="s">
        <v>18</v>
      </c>
      <c r="N12" s="1078">
        <f>N11</f>
        <v>8.0610754216991207</v>
      </c>
      <c r="O12" s="264"/>
    </row>
    <row r="13" spans="1:15" x14ac:dyDescent="0.25">
      <c r="A13" s="1063"/>
      <c r="B13" s="1055"/>
      <c r="C13" s="1055"/>
      <c r="D13" s="1055"/>
      <c r="E13" s="1055"/>
      <c r="F13" s="1055"/>
      <c r="G13" s="1055"/>
      <c r="H13" s="1055"/>
      <c r="I13" s="1055"/>
      <c r="J13" s="1055"/>
      <c r="K13" s="1055"/>
      <c r="L13" s="1055"/>
      <c r="M13" s="1055"/>
      <c r="N13" s="1055"/>
      <c r="O13" s="264"/>
    </row>
    <row r="14" spans="1:15" x14ac:dyDescent="0.25">
      <c r="A14" s="1064" t="s">
        <v>14</v>
      </c>
      <c r="B14" s="1065" t="s">
        <v>31</v>
      </c>
      <c r="C14" s="1065" t="s">
        <v>20</v>
      </c>
      <c r="D14" s="1065" t="s">
        <v>21</v>
      </c>
      <c r="E14" s="1065" t="s">
        <v>32</v>
      </c>
      <c r="F14" s="1065" t="s">
        <v>17</v>
      </c>
      <c r="G14" s="1065" t="s">
        <v>33</v>
      </c>
      <c r="H14" s="1065" t="s">
        <v>34</v>
      </c>
      <c r="I14" s="1065" t="s">
        <v>18</v>
      </c>
      <c r="J14" s="1076"/>
      <c r="K14" s="1076"/>
      <c r="L14" s="1076"/>
      <c r="M14" s="1076"/>
      <c r="N14" s="1076"/>
      <c r="O14" s="264"/>
    </row>
    <row r="15" spans="1:15" x14ac:dyDescent="0.25">
      <c r="A15" s="1079">
        <v>10</v>
      </c>
      <c r="B15" s="249" t="s">
        <v>405</v>
      </c>
      <c r="C15" s="884" t="s">
        <v>404</v>
      </c>
      <c r="D15" s="253">
        <v>25</v>
      </c>
      <c r="E15" s="249" t="s">
        <v>141</v>
      </c>
      <c r="F15" s="883">
        <f>E11</f>
        <v>4.0305377108495605E-2</v>
      </c>
      <c r="G15" s="882"/>
      <c r="H15" s="882"/>
      <c r="I15" s="32">
        <f>D15*F15</f>
        <v>1.0076344277123901</v>
      </c>
      <c r="J15" s="1055"/>
      <c r="K15" s="1055"/>
      <c r="L15" s="1055"/>
      <c r="M15" s="1055"/>
      <c r="N15" s="1055"/>
      <c r="O15" s="264"/>
    </row>
    <row r="16" spans="1:15" x14ac:dyDescent="0.25">
      <c r="A16" s="1075"/>
      <c r="B16" s="1076"/>
      <c r="C16" s="1076"/>
      <c r="D16" s="1076"/>
      <c r="E16" s="1076"/>
      <c r="F16" s="1076"/>
      <c r="G16" s="1076"/>
      <c r="H16" s="1077" t="s">
        <v>18</v>
      </c>
      <c r="I16" s="1080">
        <f>I15</f>
        <v>1.0076344277123901</v>
      </c>
      <c r="J16" s="1076"/>
      <c r="K16" s="1076"/>
      <c r="L16" s="1076"/>
      <c r="M16" s="1076"/>
      <c r="N16" s="1076"/>
      <c r="O16" s="264"/>
    </row>
    <row r="17" spans="1:15" ht="15.75" thickBot="1" x14ac:dyDescent="0.3">
      <c r="A17" s="1081"/>
      <c r="B17" s="1082"/>
      <c r="C17" s="1082"/>
      <c r="D17" s="1082"/>
      <c r="E17" s="1082"/>
      <c r="F17" s="1082"/>
      <c r="G17" s="1082"/>
      <c r="H17" s="1083"/>
      <c r="I17" s="1084"/>
      <c r="J17" s="1082"/>
      <c r="K17" s="1082"/>
      <c r="L17" s="1082"/>
      <c r="M17" s="1082"/>
      <c r="N17" s="1082"/>
      <c r="O17" s="286"/>
    </row>
    <row r="18" spans="1:15" x14ac:dyDescent="0.25">
      <c r="A18" s="1085"/>
      <c r="B18" s="1085"/>
      <c r="C18" s="1085"/>
      <c r="D18" s="1085"/>
      <c r="E18" s="1085"/>
      <c r="F18" s="1085"/>
      <c r="G18" s="1085"/>
      <c r="H18" s="1085"/>
      <c r="I18" s="1085"/>
      <c r="J18" s="1085"/>
      <c r="K18" s="1085"/>
      <c r="L18" s="1085"/>
      <c r="M18" s="1085"/>
      <c r="N18" s="1085"/>
    </row>
    <row r="19" spans="1:15" x14ac:dyDescent="0.25">
      <c r="A19" s="1085"/>
      <c r="B19" s="1085"/>
      <c r="C19" s="1085"/>
      <c r="D19" s="1085"/>
      <c r="E19" s="1085"/>
      <c r="F19" s="1085"/>
      <c r="G19" s="1085"/>
      <c r="H19" s="1085"/>
      <c r="I19" s="1085"/>
      <c r="J19" s="1085"/>
      <c r="K19" s="1085"/>
      <c r="L19" s="1085"/>
      <c r="M19" s="1085"/>
      <c r="N19" s="1085"/>
    </row>
    <row r="20" spans="1:15" x14ac:dyDescent="0.25">
      <c r="A20" s="1085"/>
      <c r="B20" s="1085"/>
      <c r="C20" s="1085"/>
      <c r="D20" s="1085"/>
      <c r="E20" s="1085"/>
      <c r="F20" s="1085"/>
      <c r="G20" s="1085"/>
      <c r="H20" s="1085"/>
      <c r="I20" s="1085"/>
      <c r="J20" s="1085"/>
      <c r="K20" s="1085"/>
      <c r="L20" s="1085"/>
      <c r="M20" s="1085"/>
      <c r="N20" s="1085"/>
    </row>
    <row r="21" spans="1:15" x14ac:dyDescent="0.25">
      <c r="A21" s="1085"/>
      <c r="B21" s="1085"/>
      <c r="C21" s="1085"/>
      <c r="D21" s="1085"/>
      <c r="E21" s="1085"/>
      <c r="F21" s="1085"/>
      <c r="G21" s="1085"/>
      <c r="H21" s="1085"/>
      <c r="I21" s="1085"/>
      <c r="J21" s="1085"/>
      <c r="K21" s="1085"/>
      <c r="L21" s="1085"/>
      <c r="M21" s="1085"/>
      <c r="N21" s="1085"/>
    </row>
    <row r="22" spans="1:15" x14ac:dyDescent="0.25">
      <c r="A22" s="16"/>
      <c r="B22" s="1085"/>
      <c r="C22" s="1085"/>
      <c r="D22" s="1085"/>
      <c r="E22" s="1085"/>
      <c r="F22" s="1085"/>
      <c r="G22" s="1085"/>
      <c r="H22" s="1085"/>
      <c r="I22" s="1085"/>
      <c r="J22" s="1085"/>
      <c r="K22" s="1085"/>
      <c r="L22" s="1085"/>
      <c r="M22" s="1085"/>
      <c r="N22" s="1085"/>
    </row>
    <row r="23" spans="1:15" x14ac:dyDescent="0.25">
      <c r="A23" s="16"/>
      <c r="B23" s="1085"/>
      <c r="C23" s="1085"/>
      <c r="D23" s="1085"/>
      <c r="E23" s="1085"/>
      <c r="F23" s="1085"/>
      <c r="G23" s="1085"/>
      <c r="H23" s="1085"/>
      <c r="I23" s="1085"/>
      <c r="J23" s="1085"/>
      <c r="K23" s="1085"/>
      <c r="L23" s="1085"/>
      <c r="M23" s="1085"/>
      <c r="N23" s="1085"/>
    </row>
    <row r="24" spans="1:15" x14ac:dyDescent="0.25">
      <c r="A24" s="87"/>
      <c r="B24" s="1085"/>
      <c r="C24" s="1085"/>
      <c r="D24" s="1085"/>
      <c r="E24" s="1085"/>
      <c r="F24" s="1085"/>
      <c r="G24" s="1085"/>
      <c r="H24" s="1085"/>
      <c r="I24" s="1085"/>
      <c r="J24" s="1085"/>
      <c r="K24" s="1085"/>
      <c r="L24" s="1085"/>
      <c r="M24" s="1085"/>
      <c r="N24" s="1085"/>
    </row>
    <row r="25" spans="1:15" x14ac:dyDescent="0.25">
      <c r="A25" s="18"/>
      <c r="B25" s="1085"/>
      <c r="C25" s="1085"/>
      <c r="D25" s="1085"/>
      <c r="E25" s="1085"/>
      <c r="F25" s="1085"/>
      <c r="G25" s="1085"/>
      <c r="H25" s="1085"/>
      <c r="I25" s="1085"/>
      <c r="J25" s="1085"/>
      <c r="K25" s="1085"/>
      <c r="L25" s="1085"/>
      <c r="M25" s="1085"/>
      <c r="N25" s="1085"/>
    </row>
    <row r="26" spans="1:15" x14ac:dyDescent="0.25">
      <c r="A26" s="28"/>
      <c r="B26" s="1085"/>
      <c r="C26" s="1085"/>
      <c r="D26" s="1085"/>
      <c r="E26" s="1085"/>
      <c r="F26" s="1085"/>
      <c r="G26" s="1085"/>
      <c r="H26" s="1085"/>
      <c r="I26" s="1085"/>
      <c r="J26" s="1085"/>
      <c r="K26" s="1085"/>
      <c r="L26" s="1085"/>
      <c r="M26" s="1085"/>
      <c r="N26" s="1085"/>
    </row>
    <row r="27" spans="1:15" x14ac:dyDescent="0.25">
      <c r="A27" s="16"/>
      <c r="B27" s="1085"/>
      <c r="C27" s="1085"/>
      <c r="D27" s="1085"/>
      <c r="E27" s="1085"/>
      <c r="F27" s="1085"/>
      <c r="G27" s="1085"/>
      <c r="H27" s="1085"/>
      <c r="I27" s="1085"/>
      <c r="J27" s="1085"/>
      <c r="K27" s="1085"/>
      <c r="L27" s="1085"/>
      <c r="M27" s="1085"/>
      <c r="N27" s="1085"/>
    </row>
    <row r="28" spans="1:15" x14ac:dyDescent="0.25">
      <c r="A28" s="16"/>
      <c r="B28" s="1085"/>
      <c r="C28" s="1085"/>
      <c r="D28" s="1085"/>
      <c r="E28" s="1085"/>
      <c r="F28" s="1085"/>
      <c r="G28" s="1085"/>
      <c r="H28" s="1085"/>
      <c r="I28" s="1085"/>
      <c r="J28" s="1085"/>
      <c r="K28" s="1085"/>
      <c r="L28" s="1085"/>
      <c r="M28" s="1085"/>
      <c r="N28" s="1085"/>
    </row>
    <row r="29" spans="1:15" x14ac:dyDescent="0.25">
      <c r="A29" s="1085"/>
      <c r="B29" s="1085"/>
      <c r="C29" s="1085"/>
      <c r="D29" s="1085"/>
      <c r="E29" s="1085"/>
      <c r="F29" s="1085"/>
      <c r="G29" s="1085"/>
      <c r="H29" s="1085"/>
      <c r="I29" s="1085"/>
      <c r="J29" s="1085"/>
      <c r="K29" s="1085"/>
      <c r="L29" s="1085"/>
      <c r="M29" s="1085"/>
      <c r="N29" s="1085"/>
    </row>
    <row r="30" spans="1:15" x14ac:dyDescent="0.25">
      <c r="A30" s="1085"/>
      <c r="B30" s="1085"/>
      <c r="C30" s="1085"/>
      <c r="D30" s="1085"/>
      <c r="E30" s="1085"/>
      <c r="F30" s="1085"/>
      <c r="G30" s="1085"/>
      <c r="H30" s="1085"/>
      <c r="I30" s="1085"/>
      <c r="J30" s="1085"/>
      <c r="K30" s="1085"/>
      <c r="L30" s="1085"/>
      <c r="M30" s="1085"/>
      <c r="N30" s="1085"/>
    </row>
    <row r="31" spans="1:15" x14ac:dyDescent="0.25">
      <c r="A31" s="1085"/>
      <c r="B31" s="1085"/>
      <c r="C31" s="1085"/>
      <c r="D31" s="1085"/>
      <c r="E31" s="1085"/>
      <c r="F31" s="1085"/>
      <c r="G31" s="1085"/>
      <c r="H31" s="1085"/>
      <c r="I31" s="1085"/>
      <c r="J31" s="1085"/>
      <c r="K31" s="1085"/>
      <c r="L31" s="1085"/>
      <c r="M31" s="1085"/>
      <c r="N31" s="1085"/>
    </row>
    <row r="32" spans="1:15" x14ac:dyDescent="0.25">
      <c r="A32" s="1085"/>
      <c r="B32" s="1085"/>
      <c r="C32" s="1085"/>
      <c r="D32" s="1085"/>
      <c r="E32" s="1085"/>
      <c r="F32" s="1085"/>
      <c r="G32" s="1085"/>
      <c r="H32" s="1085"/>
      <c r="I32" s="1085"/>
      <c r="J32" s="1085"/>
      <c r="K32" s="1085"/>
      <c r="L32" s="1085"/>
      <c r="M32" s="1085"/>
      <c r="N32" s="1085"/>
    </row>
    <row r="33" spans="1:14" x14ac:dyDescent="0.25">
      <c r="A33" s="1085"/>
      <c r="B33" s="1085"/>
      <c r="C33" s="1085"/>
      <c r="D33" s="1085"/>
      <c r="E33" s="1085"/>
      <c r="F33" s="1085"/>
      <c r="G33" s="1085"/>
      <c r="H33" s="1085"/>
      <c r="I33" s="1085"/>
      <c r="J33" s="1085"/>
      <c r="K33" s="1085"/>
      <c r="L33" s="1085"/>
      <c r="M33" s="1085"/>
      <c r="N33" s="1085"/>
    </row>
    <row r="34" spans="1:14" x14ac:dyDescent="0.25">
      <c r="A34" s="1085"/>
      <c r="B34" s="1085"/>
      <c r="C34" s="1085"/>
      <c r="D34" s="1085"/>
      <c r="E34" s="1085"/>
      <c r="F34" s="1085"/>
      <c r="G34" s="1085"/>
      <c r="H34" s="1085"/>
      <c r="I34" s="1085"/>
      <c r="J34" s="1085"/>
      <c r="K34" s="1085"/>
      <c r="L34" s="1085"/>
      <c r="M34" s="1085"/>
      <c r="N34" s="1085"/>
    </row>
    <row r="35" spans="1:14" x14ac:dyDescent="0.25">
      <c r="A35" s="1085"/>
      <c r="B35" s="1085"/>
      <c r="C35" s="1085"/>
      <c r="D35" s="1085"/>
      <c r="E35" s="1085"/>
      <c r="F35" s="1085"/>
      <c r="G35" s="1085"/>
      <c r="H35" s="1085"/>
      <c r="I35" s="1085"/>
      <c r="J35" s="1085"/>
      <c r="K35" s="1085"/>
      <c r="L35" s="1085"/>
      <c r="M35" s="1085"/>
      <c r="N35" s="1085"/>
    </row>
    <row r="36" spans="1:14" x14ac:dyDescent="0.25">
      <c r="A36" s="1085"/>
      <c r="B36" s="1085"/>
      <c r="C36" s="1085"/>
      <c r="D36" s="1085"/>
      <c r="E36" s="1085"/>
      <c r="F36" s="1085"/>
      <c r="G36" s="1085"/>
      <c r="H36" s="1085"/>
      <c r="I36" s="1085"/>
      <c r="J36" s="1085"/>
      <c r="K36" s="1085"/>
      <c r="L36" s="1085"/>
      <c r="M36" s="1085"/>
      <c r="N36" s="1085"/>
    </row>
    <row r="37" spans="1:14" x14ac:dyDescent="0.25">
      <c r="A37" s="1085"/>
      <c r="B37" s="1085"/>
      <c r="C37" s="1085"/>
      <c r="D37" s="1085"/>
      <c r="E37" s="1085"/>
      <c r="F37" s="1085"/>
      <c r="G37" s="1085"/>
      <c r="H37" s="1085"/>
      <c r="I37" s="1085"/>
      <c r="J37" s="1085"/>
      <c r="K37" s="1085"/>
      <c r="L37" s="1085"/>
      <c r="M37" s="1085"/>
      <c r="N37" s="1085"/>
    </row>
    <row r="38" spans="1:14" x14ac:dyDescent="0.25">
      <c r="A38" s="1085"/>
      <c r="B38" s="1085"/>
      <c r="C38" s="1085"/>
      <c r="D38" s="1085"/>
      <c r="E38" s="1085"/>
      <c r="F38" s="1085"/>
      <c r="G38" s="1085"/>
      <c r="H38" s="1085"/>
      <c r="I38" s="1085"/>
      <c r="J38" s="1085"/>
      <c r="K38" s="1085"/>
      <c r="L38" s="1085"/>
      <c r="M38" s="1085"/>
      <c r="N38" s="1085"/>
    </row>
    <row r="39" spans="1:14" x14ac:dyDescent="0.25">
      <c r="A39" s="1085"/>
      <c r="B39" s="1085"/>
      <c r="C39" s="1085"/>
      <c r="D39" s="1085"/>
      <c r="E39" s="1085"/>
      <c r="F39" s="1085"/>
      <c r="G39" s="1085"/>
      <c r="H39" s="1085"/>
      <c r="I39" s="1085"/>
      <c r="J39" s="1085"/>
      <c r="K39" s="1085"/>
      <c r="L39" s="1085"/>
      <c r="M39" s="1085"/>
      <c r="N39" s="1085"/>
    </row>
    <row r="40" spans="1:14" x14ac:dyDescent="0.25">
      <c r="A40" s="1085"/>
      <c r="B40" s="1085"/>
      <c r="C40" s="1085"/>
      <c r="D40" s="1085"/>
      <c r="E40" s="1085"/>
      <c r="F40" s="1085"/>
      <c r="G40" s="1085"/>
      <c r="H40" s="1085"/>
      <c r="I40" s="1085"/>
      <c r="J40" s="1085"/>
      <c r="K40" s="1085"/>
      <c r="L40" s="1085"/>
      <c r="M40" s="1085"/>
      <c r="N40" s="1085"/>
    </row>
    <row r="41" spans="1:14" x14ac:dyDescent="0.25">
      <c r="A41" s="1085"/>
      <c r="B41" s="1085"/>
      <c r="C41" s="1085"/>
      <c r="D41" s="1085"/>
      <c r="E41" s="1085"/>
      <c r="F41" s="1085"/>
      <c r="G41" s="1085"/>
      <c r="H41" s="1085"/>
      <c r="I41" s="1085"/>
      <c r="J41" s="1085"/>
      <c r="K41" s="1085"/>
      <c r="L41" s="1085"/>
      <c r="M41" s="1085"/>
      <c r="N41" s="1085"/>
    </row>
    <row r="42" spans="1:14" x14ac:dyDescent="0.25">
      <c r="A42" s="1085"/>
      <c r="B42" s="1085"/>
      <c r="C42" s="1085"/>
      <c r="D42" s="1085"/>
      <c r="E42" s="1085"/>
      <c r="F42" s="1085"/>
      <c r="G42" s="1085"/>
      <c r="H42" s="1085"/>
      <c r="I42" s="1085"/>
      <c r="J42" s="1085"/>
      <c r="K42" s="1085"/>
      <c r="L42" s="1085"/>
      <c r="M42" s="1085"/>
      <c r="N42" s="1085"/>
    </row>
    <row r="43" spans="1:14" x14ac:dyDescent="0.25">
      <c r="A43" s="1085"/>
      <c r="B43" s="1085"/>
      <c r="C43" s="1085"/>
      <c r="D43" s="1085"/>
      <c r="E43" s="1085"/>
      <c r="F43" s="1085"/>
      <c r="G43" s="1085"/>
      <c r="H43" s="1085"/>
      <c r="I43" s="1085"/>
      <c r="J43" s="1085"/>
      <c r="K43" s="1085"/>
      <c r="L43" s="1085"/>
      <c r="M43" s="1085"/>
      <c r="N43" s="1085"/>
    </row>
    <row r="44" spans="1:14" x14ac:dyDescent="0.25">
      <c r="A44" s="1085"/>
      <c r="B44" s="1085"/>
      <c r="C44" s="1085"/>
      <c r="D44" s="1085"/>
      <c r="E44" s="1085"/>
      <c r="F44" s="1085"/>
      <c r="G44" s="1085"/>
      <c r="H44" s="1085"/>
      <c r="I44" s="1085"/>
      <c r="J44" s="1085"/>
      <c r="K44" s="1085"/>
      <c r="L44" s="1085"/>
      <c r="M44" s="1085"/>
      <c r="N44" s="1085"/>
    </row>
    <row r="45" spans="1:14" x14ac:dyDescent="0.25">
      <c r="A45" s="1085"/>
      <c r="B45" s="1085"/>
      <c r="C45" s="1085"/>
      <c r="D45" s="1085"/>
      <c r="E45" s="1085"/>
      <c r="F45" s="1085"/>
      <c r="G45" s="1085"/>
      <c r="H45" s="1085"/>
      <c r="I45" s="1085"/>
      <c r="J45" s="1085"/>
      <c r="K45" s="1085"/>
      <c r="L45" s="1085"/>
      <c r="M45" s="1085"/>
      <c r="N45" s="1085"/>
    </row>
    <row r="46" spans="1:14" x14ac:dyDescent="0.25">
      <c r="A46" s="1085"/>
      <c r="B46" s="1085"/>
      <c r="C46" s="1085"/>
      <c r="D46" s="1085"/>
      <c r="E46" s="1085"/>
      <c r="F46" s="1085"/>
      <c r="G46" s="1085"/>
      <c r="H46" s="1085"/>
      <c r="I46" s="1085"/>
      <c r="J46" s="1085"/>
      <c r="K46" s="1085"/>
      <c r="L46" s="1085"/>
      <c r="M46" s="1085"/>
      <c r="N46" s="1085"/>
    </row>
    <row r="47" spans="1:14" x14ac:dyDescent="0.25">
      <c r="A47" s="1085"/>
      <c r="B47" s="1085"/>
      <c r="C47" s="1085"/>
      <c r="D47" s="1085"/>
      <c r="E47" s="1085"/>
      <c r="F47" s="1085"/>
      <c r="G47" s="1085"/>
      <c r="H47" s="1085"/>
      <c r="I47" s="1085"/>
      <c r="J47" s="1085"/>
      <c r="K47" s="1085"/>
      <c r="L47" s="1085"/>
      <c r="M47" s="1085"/>
      <c r="N47" s="1085"/>
    </row>
    <row r="48" spans="1:14" x14ac:dyDescent="0.25">
      <c r="A48" s="1085"/>
      <c r="B48" s="1085"/>
      <c r="C48" s="1085"/>
      <c r="D48" s="1085"/>
      <c r="E48" s="1085"/>
      <c r="F48" s="1085"/>
      <c r="G48" s="1085"/>
      <c r="H48" s="1085"/>
      <c r="I48" s="1085"/>
      <c r="J48" s="1085"/>
      <c r="K48" s="1085"/>
      <c r="L48" s="1085"/>
      <c r="M48" s="1085"/>
      <c r="N48" s="1085"/>
    </row>
    <row r="49" spans="1:14" x14ac:dyDescent="0.25">
      <c r="A49" s="1085"/>
      <c r="B49" s="1085"/>
      <c r="C49" s="1085"/>
      <c r="D49" s="1085"/>
      <c r="E49" s="1085"/>
      <c r="F49" s="1085"/>
      <c r="G49" s="1085"/>
      <c r="H49" s="1085"/>
      <c r="I49" s="1085"/>
      <c r="J49" s="1085"/>
      <c r="K49" s="1085"/>
      <c r="L49" s="1085"/>
      <c r="M49" s="1085"/>
      <c r="N49" s="1085"/>
    </row>
    <row r="50" spans="1:14" x14ac:dyDescent="0.25">
      <c r="A50" s="1085"/>
      <c r="B50" s="1085"/>
      <c r="C50" s="1085"/>
      <c r="D50" s="1085"/>
      <c r="E50" s="1085"/>
      <c r="F50" s="1085"/>
      <c r="G50" s="1085"/>
      <c r="H50" s="1085"/>
      <c r="I50" s="1085"/>
      <c r="J50" s="1085"/>
      <c r="K50" s="1085"/>
      <c r="L50" s="1085"/>
      <c r="M50" s="1085"/>
      <c r="N50" s="1085"/>
    </row>
    <row r="51" spans="1:14" x14ac:dyDescent="0.25">
      <c r="A51" s="1085"/>
      <c r="B51" s="1085"/>
      <c r="C51" s="1085"/>
      <c r="D51" s="1085"/>
      <c r="E51" s="1085"/>
      <c r="F51" s="1085"/>
      <c r="G51" s="1085"/>
      <c r="H51" s="1085"/>
      <c r="I51" s="1085"/>
      <c r="J51" s="1085"/>
      <c r="K51" s="1085"/>
      <c r="L51" s="1085"/>
      <c r="M51" s="1085"/>
      <c r="N51" s="1085"/>
    </row>
    <row r="52" spans="1:14" x14ac:dyDescent="0.25">
      <c r="A52" s="1085"/>
      <c r="B52" s="1085"/>
      <c r="C52" s="1085"/>
      <c r="D52" s="1085"/>
      <c r="E52" s="1085"/>
      <c r="F52" s="1085"/>
      <c r="G52" s="1085"/>
      <c r="H52" s="1085"/>
      <c r="I52" s="1085"/>
      <c r="J52" s="1085"/>
      <c r="K52" s="1085"/>
      <c r="L52" s="1085"/>
      <c r="M52" s="1085"/>
      <c r="N52" s="1085"/>
    </row>
    <row r="53" spans="1:14" x14ac:dyDescent="0.25">
      <c r="A53" s="1085"/>
      <c r="B53" s="1085"/>
      <c r="C53" s="1085"/>
      <c r="D53" s="1085"/>
      <c r="E53" s="1085"/>
      <c r="F53" s="1085"/>
      <c r="G53" s="1085"/>
      <c r="H53" s="1085"/>
      <c r="I53" s="1085"/>
      <c r="J53" s="1085"/>
      <c r="K53" s="1085"/>
      <c r="L53" s="1085"/>
      <c r="M53" s="1085"/>
      <c r="N53" s="1085"/>
    </row>
    <row r="54" spans="1:14" x14ac:dyDescent="0.25">
      <c r="A54" s="1085"/>
      <c r="B54" s="1085"/>
      <c r="C54" s="1085"/>
      <c r="D54" s="1085"/>
      <c r="E54" s="1085"/>
      <c r="F54" s="1085"/>
      <c r="G54" s="1085"/>
      <c r="H54" s="1085"/>
      <c r="I54" s="1085"/>
      <c r="J54" s="1085"/>
      <c r="K54" s="1085"/>
      <c r="L54" s="1085"/>
      <c r="M54" s="1085"/>
      <c r="N54" s="1085"/>
    </row>
    <row r="55" spans="1:14" x14ac:dyDescent="0.25">
      <c r="A55" s="1085"/>
      <c r="B55" s="1085"/>
      <c r="C55" s="1085"/>
      <c r="D55" s="1085"/>
      <c r="E55" s="1085"/>
      <c r="F55" s="1085"/>
      <c r="G55" s="1085"/>
      <c r="H55" s="1085"/>
      <c r="I55" s="1085"/>
      <c r="J55" s="1085"/>
      <c r="K55" s="1085"/>
      <c r="L55" s="1085"/>
      <c r="M55" s="1085"/>
      <c r="N55" s="1085"/>
    </row>
    <row r="56" spans="1:14" x14ac:dyDescent="0.25">
      <c r="A56" s="1085"/>
      <c r="B56" s="1085"/>
      <c r="C56" s="1085"/>
      <c r="D56" s="1085"/>
      <c r="E56" s="1085"/>
      <c r="F56" s="1085"/>
      <c r="G56" s="1085"/>
      <c r="H56" s="1085"/>
      <c r="I56" s="1085"/>
      <c r="J56" s="1085"/>
      <c r="K56" s="1085"/>
      <c r="L56" s="1085"/>
      <c r="M56" s="1085"/>
      <c r="N56" s="1085"/>
    </row>
    <row r="57" spans="1:14" x14ac:dyDescent="0.25">
      <c r="A57" s="1085"/>
      <c r="B57" s="1085"/>
      <c r="C57" s="1085"/>
      <c r="D57" s="1085"/>
      <c r="E57" s="1085"/>
      <c r="F57" s="1085"/>
      <c r="G57" s="1085"/>
      <c r="H57" s="1085"/>
      <c r="I57" s="1085"/>
      <c r="J57" s="1085"/>
      <c r="K57" s="1085"/>
      <c r="L57" s="1085"/>
      <c r="M57" s="1085"/>
      <c r="N57" s="1085"/>
    </row>
    <row r="58" spans="1:14" x14ac:dyDescent="0.25">
      <c r="A58" s="1085"/>
      <c r="B58" s="1085"/>
      <c r="C58" s="1085"/>
      <c r="D58" s="1085"/>
      <c r="E58" s="1085"/>
      <c r="F58" s="1085"/>
      <c r="G58" s="1085"/>
      <c r="H58" s="1085"/>
      <c r="I58" s="1085"/>
      <c r="J58" s="1085"/>
      <c r="K58" s="1085"/>
      <c r="L58" s="1085"/>
      <c r="M58" s="1085"/>
      <c r="N58" s="1085"/>
    </row>
    <row r="59" spans="1:14" x14ac:dyDescent="0.25">
      <c r="A59" s="1085"/>
      <c r="B59" s="1085"/>
      <c r="C59" s="1085"/>
      <c r="D59" s="1085"/>
      <c r="E59" s="1085"/>
      <c r="F59" s="1085"/>
      <c r="G59" s="1085"/>
      <c r="H59" s="1085"/>
      <c r="I59" s="1085"/>
      <c r="J59" s="1085"/>
      <c r="K59" s="1085"/>
      <c r="L59" s="1085"/>
      <c r="M59" s="1085"/>
      <c r="N59" s="1085"/>
    </row>
    <row r="60" spans="1:14" x14ac:dyDescent="0.25">
      <c r="A60" s="1085"/>
      <c r="B60" s="1085"/>
      <c r="C60" s="1085"/>
      <c r="D60" s="1085"/>
      <c r="E60" s="1085"/>
      <c r="F60" s="1085"/>
      <c r="G60" s="1085"/>
      <c r="H60" s="1085"/>
      <c r="I60" s="1085"/>
      <c r="J60" s="1085"/>
      <c r="K60" s="1085"/>
      <c r="L60" s="1085"/>
      <c r="M60" s="1085"/>
      <c r="N60" s="1085"/>
    </row>
    <row r="61" spans="1:14" x14ac:dyDescent="0.25">
      <c r="A61" s="1085"/>
      <c r="B61" s="1085"/>
      <c r="C61" s="1085"/>
      <c r="D61" s="1085"/>
      <c r="E61" s="1085"/>
      <c r="F61" s="1085"/>
      <c r="G61" s="1085"/>
      <c r="H61" s="1085"/>
      <c r="I61" s="1085"/>
      <c r="J61" s="1085"/>
      <c r="K61" s="1085"/>
      <c r="L61" s="1085"/>
      <c r="M61" s="1085"/>
      <c r="N61" s="1085"/>
    </row>
    <row r="62" spans="1:14" x14ac:dyDescent="0.25">
      <c r="A62" s="1085"/>
      <c r="B62" s="1085"/>
      <c r="C62" s="1085"/>
      <c r="D62" s="1085"/>
      <c r="E62" s="1085"/>
      <c r="F62" s="1085"/>
      <c r="G62" s="1085"/>
      <c r="H62" s="1085"/>
      <c r="I62" s="1085"/>
      <c r="J62" s="1085"/>
      <c r="K62" s="1085"/>
      <c r="L62" s="1085"/>
      <c r="M62" s="1085"/>
      <c r="N62" s="1085"/>
    </row>
    <row r="63" spans="1:14" x14ac:dyDescent="0.25">
      <c r="A63" s="1085"/>
      <c r="B63" s="1085"/>
      <c r="C63" s="1085"/>
      <c r="D63" s="1085"/>
      <c r="E63" s="1085"/>
      <c r="F63" s="1085"/>
      <c r="G63" s="1085"/>
      <c r="H63" s="1085"/>
      <c r="I63" s="1085"/>
      <c r="J63" s="1085"/>
      <c r="K63" s="1085"/>
      <c r="L63" s="1085"/>
      <c r="M63" s="1085"/>
      <c r="N63" s="1085"/>
    </row>
    <row r="64" spans="1:14" x14ac:dyDescent="0.25">
      <c r="A64" s="1085"/>
      <c r="B64" s="1085"/>
      <c r="C64" s="1085"/>
      <c r="D64" s="1085"/>
      <c r="E64" s="1085"/>
      <c r="F64" s="1085"/>
      <c r="G64" s="1085"/>
      <c r="H64" s="1085"/>
      <c r="I64" s="1085"/>
      <c r="J64" s="1085"/>
      <c r="K64" s="1085"/>
      <c r="L64" s="1085"/>
      <c r="M64" s="1085"/>
      <c r="N64" s="1085"/>
    </row>
    <row r="65" spans="1:14" x14ac:dyDescent="0.25">
      <c r="A65" s="1085"/>
      <c r="B65" s="1085"/>
      <c r="C65" s="1085"/>
      <c r="D65" s="1085"/>
      <c r="E65" s="1085"/>
      <c r="F65" s="1085"/>
      <c r="G65" s="1085"/>
      <c r="H65" s="1085"/>
      <c r="I65" s="1085"/>
      <c r="J65" s="1085"/>
      <c r="K65" s="1085"/>
      <c r="L65" s="1085"/>
      <c r="M65" s="1085"/>
      <c r="N65" s="1085"/>
    </row>
    <row r="66" spans="1:14" x14ac:dyDescent="0.25">
      <c r="A66" s="1085"/>
      <c r="B66" s="1085"/>
      <c r="C66" s="1085"/>
      <c r="D66" s="1085"/>
      <c r="E66" s="1085"/>
      <c r="F66" s="1085"/>
      <c r="G66" s="1085"/>
      <c r="H66" s="1085"/>
      <c r="I66" s="1085"/>
      <c r="J66" s="1085"/>
      <c r="K66" s="1085"/>
      <c r="L66" s="1085"/>
      <c r="M66" s="1085"/>
      <c r="N66" s="1085"/>
    </row>
    <row r="67" spans="1:14" x14ac:dyDescent="0.25">
      <c r="A67" s="1085"/>
      <c r="B67" s="1085"/>
      <c r="C67" s="1085"/>
      <c r="D67" s="1085"/>
      <c r="E67" s="1085"/>
      <c r="F67" s="1085"/>
      <c r="G67" s="1085"/>
      <c r="H67" s="1085"/>
      <c r="I67" s="1085"/>
      <c r="J67" s="1085"/>
      <c r="K67" s="1085"/>
      <c r="L67" s="1085"/>
      <c r="M67" s="1085"/>
      <c r="N67" s="1085"/>
    </row>
    <row r="68" spans="1:14" x14ac:dyDescent="0.25">
      <c r="A68" s="1085"/>
      <c r="B68" s="1085"/>
      <c r="C68" s="1085"/>
      <c r="D68" s="1085"/>
      <c r="E68" s="1085"/>
      <c r="F68" s="1085"/>
      <c r="G68" s="1085"/>
      <c r="H68" s="1085"/>
      <c r="I68" s="1085"/>
      <c r="J68" s="1085"/>
      <c r="K68" s="1085"/>
      <c r="L68" s="1085"/>
      <c r="M68" s="1085"/>
      <c r="N68" s="1085"/>
    </row>
    <row r="69" spans="1:14" x14ac:dyDescent="0.25">
      <c r="A69" s="1085"/>
      <c r="B69" s="1085"/>
      <c r="C69" s="1085"/>
      <c r="D69" s="1085"/>
      <c r="E69" s="1085"/>
      <c r="F69" s="1085"/>
      <c r="G69" s="1085"/>
      <c r="H69" s="1085"/>
      <c r="I69" s="1085"/>
      <c r="J69" s="1085"/>
      <c r="K69" s="1085"/>
      <c r="L69" s="1085"/>
      <c r="M69" s="1085"/>
      <c r="N69" s="1085"/>
    </row>
    <row r="70" spans="1:14" x14ac:dyDescent="0.25">
      <c r="A70" s="1085"/>
      <c r="B70" s="1085"/>
      <c r="C70" s="1085"/>
      <c r="D70" s="1085"/>
      <c r="E70" s="1085"/>
      <c r="F70" s="1085"/>
      <c r="G70" s="1085"/>
      <c r="H70" s="1085"/>
      <c r="I70" s="1085"/>
      <c r="J70" s="1085"/>
      <c r="K70" s="1085"/>
      <c r="L70" s="1085"/>
      <c r="M70" s="1085"/>
      <c r="N70" s="1085"/>
    </row>
    <row r="71" spans="1:14" x14ac:dyDescent="0.25">
      <c r="A71" s="1085"/>
      <c r="B71" s="1085"/>
      <c r="C71" s="1085"/>
      <c r="D71" s="1085"/>
      <c r="E71" s="1085"/>
      <c r="F71" s="1085"/>
      <c r="G71" s="1085"/>
      <c r="H71" s="1085"/>
      <c r="I71" s="1085"/>
      <c r="J71" s="1085"/>
      <c r="K71" s="1085"/>
      <c r="L71" s="1085"/>
      <c r="M71" s="1085"/>
      <c r="N71" s="1085"/>
    </row>
    <row r="72" spans="1:14" x14ac:dyDescent="0.25">
      <c r="A72" s="1085"/>
      <c r="B72" s="1085"/>
      <c r="C72" s="1085"/>
      <c r="D72" s="1085"/>
      <c r="E72" s="1085"/>
      <c r="F72" s="1085"/>
      <c r="G72" s="1085"/>
      <c r="H72" s="1085"/>
      <c r="I72" s="1085"/>
      <c r="J72" s="1085"/>
      <c r="K72" s="1085"/>
      <c r="L72" s="1085"/>
      <c r="M72" s="1085"/>
      <c r="N72" s="1085"/>
    </row>
    <row r="73" spans="1:14" x14ac:dyDescent="0.25">
      <c r="A73" s="1085"/>
      <c r="B73" s="1085"/>
      <c r="C73" s="1085"/>
      <c r="D73" s="1085"/>
      <c r="E73" s="1085"/>
      <c r="F73" s="1085"/>
      <c r="G73" s="1085"/>
      <c r="H73" s="1085"/>
      <c r="I73" s="1085"/>
      <c r="J73" s="1085"/>
      <c r="K73" s="1085"/>
      <c r="L73" s="1085"/>
      <c r="M73" s="1085"/>
      <c r="N73" s="1085"/>
    </row>
    <row r="74" spans="1:14" x14ac:dyDescent="0.25">
      <c r="A74" s="1085"/>
      <c r="B74" s="1085"/>
      <c r="C74" s="1085"/>
      <c r="D74" s="1085"/>
      <c r="E74" s="1085"/>
      <c r="F74" s="1085"/>
      <c r="G74" s="1085"/>
      <c r="H74" s="1085"/>
      <c r="I74" s="1085"/>
      <c r="J74" s="1085"/>
      <c r="K74" s="1085"/>
      <c r="L74" s="1085"/>
      <c r="M74" s="1085"/>
      <c r="N74" s="1085"/>
    </row>
    <row r="75" spans="1:14" x14ac:dyDescent="0.25">
      <c r="A75" s="1085"/>
      <c r="B75" s="1085"/>
      <c r="C75" s="1085"/>
      <c r="D75" s="1085"/>
      <c r="E75" s="1085"/>
      <c r="F75" s="1085"/>
      <c r="G75" s="1085"/>
      <c r="H75" s="1085"/>
      <c r="I75" s="1085"/>
      <c r="J75" s="1085"/>
      <c r="K75" s="1085"/>
      <c r="L75" s="1085"/>
      <c r="M75" s="1085"/>
      <c r="N75" s="1085"/>
    </row>
    <row r="76" spans="1:14" x14ac:dyDescent="0.25">
      <c r="A76" s="1085"/>
      <c r="B76" s="1085"/>
      <c r="C76" s="1085"/>
      <c r="D76" s="1085"/>
      <c r="E76" s="1085"/>
      <c r="F76" s="1085"/>
      <c r="G76" s="1085"/>
      <c r="H76" s="1085"/>
      <c r="I76" s="1085"/>
      <c r="J76" s="1085"/>
      <c r="K76" s="1085"/>
      <c r="L76" s="1085"/>
      <c r="M76" s="1085"/>
      <c r="N76" s="1085"/>
    </row>
    <row r="77" spans="1:14" x14ac:dyDescent="0.25">
      <c r="A77" s="1085"/>
      <c r="B77" s="1085"/>
      <c r="C77" s="1085"/>
      <c r="D77" s="1085"/>
      <c r="E77" s="1085"/>
      <c r="F77" s="1085"/>
      <c r="G77" s="1085"/>
      <c r="H77" s="1085"/>
      <c r="I77" s="1085"/>
      <c r="J77" s="1085"/>
      <c r="K77" s="1085"/>
      <c r="L77" s="1085"/>
      <c r="M77" s="1085"/>
      <c r="N77" s="1085"/>
    </row>
    <row r="78" spans="1:14" x14ac:dyDescent="0.25">
      <c r="A78" s="1085"/>
      <c r="B78" s="1085"/>
      <c r="C78" s="1085"/>
      <c r="D78" s="1085"/>
      <c r="E78" s="1085"/>
      <c r="F78" s="1085"/>
      <c r="G78" s="1085"/>
      <c r="H78" s="1085"/>
      <c r="I78" s="1085"/>
      <c r="J78" s="1085"/>
      <c r="K78" s="1085"/>
      <c r="L78" s="1085"/>
      <c r="M78" s="1085"/>
      <c r="N78" s="1085"/>
    </row>
    <row r="79" spans="1:14" x14ac:dyDescent="0.25">
      <c r="A79" s="1085"/>
      <c r="B79" s="1085"/>
      <c r="C79" s="1085"/>
      <c r="D79" s="1085"/>
      <c r="E79" s="1085"/>
      <c r="F79" s="1085"/>
      <c r="G79" s="1085"/>
      <c r="H79" s="1085"/>
      <c r="I79" s="1085"/>
      <c r="J79" s="1085"/>
      <c r="K79" s="1085"/>
      <c r="L79" s="1085"/>
      <c r="M79" s="1085"/>
      <c r="N79" s="1085"/>
    </row>
    <row r="80" spans="1:14" x14ac:dyDescent="0.25">
      <c r="A80" s="1085"/>
      <c r="B80" s="1085"/>
      <c r="C80" s="1085"/>
      <c r="D80" s="1085"/>
      <c r="E80" s="1085"/>
      <c r="F80" s="1085"/>
      <c r="G80" s="1085"/>
      <c r="H80" s="1085"/>
      <c r="I80" s="1085"/>
      <c r="J80" s="1085"/>
      <c r="K80" s="1085"/>
      <c r="L80" s="1085"/>
      <c r="M80" s="1085"/>
      <c r="N80" s="1085"/>
    </row>
    <row r="81" spans="1:14" x14ac:dyDescent="0.25">
      <c r="A81" s="1085"/>
      <c r="B81" s="1085"/>
      <c r="C81" s="1085"/>
      <c r="D81" s="1085"/>
      <c r="E81" s="1085"/>
      <c r="F81" s="1085"/>
      <c r="G81" s="1085"/>
      <c r="H81" s="1085"/>
      <c r="I81" s="1085"/>
      <c r="J81" s="1085"/>
      <c r="K81" s="1085"/>
      <c r="L81" s="1085"/>
      <c r="M81" s="1085"/>
      <c r="N81" s="1085"/>
    </row>
    <row r="82" spans="1:14" x14ac:dyDescent="0.25">
      <c r="A82" s="1085"/>
      <c r="B82" s="1085"/>
      <c r="C82" s="1085"/>
      <c r="D82" s="1085"/>
      <c r="E82" s="1085"/>
      <c r="F82" s="1085"/>
      <c r="G82" s="1085"/>
      <c r="H82" s="1085"/>
      <c r="I82" s="1085"/>
      <c r="J82" s="1085"/>
      <c r="K82" s="1085"/>
      <c r="L82" s="1085"/>
      <c r="M82" s="1085"/>
      <c r="N82" s="1085"/>
    </row>
    <row r="83" spans="1:14" x14ac:dyDescent="0.25">
      <c r="A83" s="1085"/>
      <c r="B83" s="1085"/>
      <c r="C83" s="1085"/>
      <c r="D83" s="1085"/>
      <c r="E83" s="1085"/>
      <c r="F83" s="1085"/>
      <c r="G83" s="1085"/>
      <c r="H83" s="1085"/>
      <c r="I83" s="1085"/>
      <c r="J83" s="1085"/>
      <c r="K83" s="1085"/>
      <c r="L83" s="1085"/>
      <c r="M83" s="1085"/>
      <c r="N83" s="1085"/>
    </row>
    <row r="84" spans="1:14" x14ac:dyDescent="0.25">
      <c r="A84" s="1085"/>
      <c r="B84" s="1085"/>
      <c r="C84" s="1085"/>
      <c r="D84" s="1085"/>
      <c r="E84" s="1085"/>
      <c r="F84" s="1085"/>
      <c r="G84" s="1085"/>
      <c r="H84" s="1085"/>
      <c r="I84" s="1085"/>
      <c r="J84" s="1085"/>
      <c r="K84" s="1085"/>
      <c r="L84" s="1085"/>
      <c r="M84" s="1085"/>
      <c r="N84" s="1085"/>
    </row>
    <row r="85" spans="1:14" x14ac:dyDescent="0.25">
      <c r="A85" s="1085"/>
      <c r="B85" s="1085"/>
      <c r="C85" s="1085"/>
      <c r="D85" s="1085"/>
      <c r="E85" s="1085"/>
      <c r="F85" s="1085"/>
      <c r="G85" s="1085"/>
      <c r="H85" s="1085"/>
      <c r="I85" s="1085"/>
      <c r="J85" s="1085"/>
      <c r="K85" s="1085"/>
      <c r="L85" s="1085"/>
      <c r="M85" s="1085"/>
      <c r="N85" s="1085"/>
    </row>
    <row r="86" spans="1:14" x14ac:dyDescent="0.25">
      <c r="A86" s="1085"/>
      <c r="B86" s="1085"/>
      <c r="C86" s="1085"/>
      <c r="D86" s="1085"/>
      <c r="E86" s="1085"/>
      <c r="F86" s="1085"/>
      <c r="G86" s="1085"/>
      <c r="H86" s="1085"/>
      <c r="I86" s="1085"/>
      <c r="J86" s="1085"/>
      <c r="K86" s="1085"/>
      <c r="L86" s="1085"/>
      <c r="M86" s="1085"/>
      <c r="N86" s="1085"/>
    </row>
    <row r="87" spans="1:14" x14ac:dyDescent="0.25">
      <c r="A87" s="1085"/>
      <c r="B87" s="1085"/>
      <c r="C87" s="1085"/>
      <c r="D87" s="1085"/>
      <c r="E87" s="1085"/>
      <c r="F87" s="1085"/>
      <c r="G87" s="1085"/>
      <c r="H87" s="1085"/>
      <c r="I87" s="1085"/>
      <c r="J87" s="1085"/>
      <c r="K87" s="1085"/>
      <c r="L87" s="1085"/>
      <c r="M87" s="1085"/>
      <c r="N87" s="1085"/>
    </row>
    <row r="88" spans="1:14" x14ac:dyDescent="0.25">
      <c r="A88" s="1085"/>
      <c r="B88" s="1085"/>
      <c r="C88" s="1085"/>
      <c r="D88" s="1085"/>
      <c r="E88" s="1085"/>
      <c r="F88" s="1085"/>
      <c r="G88" s="1085"/>
      <c r="H88" s="1085"/>
      <c r="I88" s="1085"/>
      <c r="J88" s="1085"/>
      <c r="K88" s="1085"/>
      <c r="L88" s="1085"/>
      <c r="M88" s="1085"/>
      <c r="N88" s="1085"/>
    </row>
    <row r="89" spans="1:14" x14ac:dyDescent="0.25">
      <c r="A89" s="1085"/>
      <c r="B89" s="1085"/>
      <c r="C89" s="1085"/>
      <c r="D89" s="1085"/>
      <c r="E89" s="1085"/>
      <c r="F89" s="1085"/>
      <c r="G89" s="1085"/>
      <c r="H89" s="1085"/>
      <c r="I89" s="1085"/>
      <c r="J89" s="1085"/>
      <c r="K89" s="1085"/>
      <c r="L89" s="1085"/>
      <c r="M89" s="1085"/>
      <c r="N89" s="1085"/>
    </row>
    <row r="90" spans="1:14" x14ac:dyDescent="0.25">
      <c r="A90" s="1085"/>
      <c r="B90" s="1085"/>
      <c r="C90" s="1085"/>
      <c r="D90" s="1085"/>
      <c r="E90" s="1085"/>
      <c r="F90" s="1085"/>
      <c r="G90" s="1085"/>
      <c r="H90" s="1085"/>
      <c r="I90" s="1085"/>
      <c r="J90" s="1085"/>
      <c r="K90" s="1085"/>
      <c r="L90" s="1085"/>
      <c r="M90" s="1085"/>
      <c r="N90" s="1085"/>
    </row>
    <row r="91" spans="1:14" x14ac:dyDescent="0.25">
      <c r="A91" s="1085"/>
      <c r="B91" s="1085"/>
      <c r="C91" s="1085"/>
      <c r="D91" s="1085"/>
      <c r="E91" s="1085"/>
      <c r="F91" s="1085"/>
      <c r="G91" s="1085"/>
      <c r="H91" s="1085"/>
      <c r="I91" s="1085"/>
      <c r="J91" s="1085"/>
      <c r="K91" s="1085"/>
      <c r="L91" s="1085"/>
      <c r="M91" s="1085"/>
      <c r="N91" s="1085"/>
    </row>
    <row r="92" spans="1:14" x14ac:dyDescent="0.25">
      <c r="A92" s="1085"/>
      <c r="B92" s="1085"/>
      <c r="C92" s="1085"/>
      <c r="D92" s="1085"/>
      <c r="E92" s="1085"/>
      <c r="F92" s="1085"/>
      <c r="G92" s="1085"/>
      <c r="H92" s="1085"/>
      <c r="I92" s="1085"/>
      <c r="J92" s="1085"/>
      <c r="K92" s="1085"/>
      <c r="L92" s="1085"/>
      <c r="M92" s="1085"/>
      <c r="N92" s="1085"/>
    </row>
    <row r="93" spans="1:14" x14ac:dyDescent="0.25">
      <c r="A93" s="1085"/>
      <c r="B93" s="1085"/>
      <c r="C93" s="1085"/>
      <c r="D93" s="1085"/>
      <c r="E93" s="1085"/>
      <c r="F93" s="1085"/>
      <c r="G93" s="1085"/>
      <c r="H93" s="1085"/>
      <c r="I93" s="1085"/>
      <c r="J93" s="1085"/>
      <c r="K93" s="1085"/>
      <c r="L93" s="1085"/>
      <c r="M93" s="1085"/>
      <c r="N93" s="1085"/>
    </row>
    <row r="94" spans="1:14" x14ac:dyDescent="0.25">
      <c r="A94" s="1085"/>
      <c r="B94" s="1085"/>
      <c r="C94" s="1085"/>
      <c r="D94" s="1085"/>
      <c r="E94" s="1085"/>
      <c r="F94" s="1085"/>
      <c r="G94" s="1085"/>
      <c r="H94" s="1085"/>
      <c r="I94" s="1085"/>
      <c r="J94" s="1085"/>
      <c r="K94" s="1085"/>
      <c r="L94" s="1085"/>
      <c r="M94" s="1085"/>
      <c r="N94" s="1085"/>
    </row>
    <row r="95" spans="1:14" x14ac:dyDescent="0.25">
      <c r="A95" s="1085"/>
      <c r="B95" s="1085"/>
      <c r="C95" s="1085"/>
      <c r="D95" s="1085"/>
      <c r="E95" s="1085"/>
      <c r="F95" s="1085"/>
      <c r="G95" s="1085"/>
      <c r="H95" s="1085"/>
      <c r="I95" s="1085"/>
      <c r="J95" s="1085"/>
      <c r="K95" s="1085"/>
      <c r="L95" s="1085"/>
      <c r="M95" s="1085"/>
      <c r="N95" s="1085"/>
    </row>
    <row r="96" spans="1:14" x14ac:dyDescent="0.25">
      <c r="A96" s="1085"/>
      <c r="B96" s="1085"/>
      <c r="C96" s="1085"/>
      <c r="D96" s="1085"/>
      <c r="E96" s="1085"/>
      <c r="F96" s="1085"/>
      <c r="G96" s="1085"/>
      <c r="H96" s="1085"/>
      <c r="I96" s="1085"/>
      <c r="J96" s="1085"/>
      <c r="K96" s="1085"/>
      <c r="L96" s="1085"/>
      <c r="M96" s="1085"/>
      <c r="N96" s="1085"/>
    </row>
    <row r="97" spans="1:14" x14ac:dyDescent="0.25">
      <c r="A97" s="1085"/>
      <c r="B97" s="1085"/>
      <c r="C97" s="1085"/>
      <c r="D97" s="1085"/>
      <c r="E97" s="1085"/>
      <c r="F97" s="1085"/>
      <c r="G97" s="1085"/>
      <c r="H97" s="1085"/>
      <c r="I97" s="1085"/>
      <c r="J97" s="1085"/>
      <c r="K97" s="1085"/>
      <c r="L97" s="1085"/>
      <c r="M97" s="1085"/>
      <c r="N97" s="1085"/>
    </row>
    <row r="98" spans="1:14" x14ac:dyDescent="0.25">
      <c r="A98" s="1085"/>
      <c r="B98" s="1085"/>
      <c r="C98" s="1085"/>
      <c r="D98" s="1085"/>
      <c r="E98" s="1085"/>
      <c r="F98" s="1085"/>
      <c r="G98" s="1085"/>
      <c r="H98" s="1085"/>
      <c r="I98" s="1085"/>
      <c r="J98" s="1085"/>
      <c r="K98" s="1085"/>
      <c r="L98" s="1085"/>
      <c r="M98" s="1085"/>
      <c r="N98" s="1085"/>
    </row>
    <row r="99" spans="1:14" x14ac:dyDescent="0.25">
      <c r="A99" s="1085"/>
      <c r="B99" s="1085"/>
      <c r="C99" s="1085"/>
      <c r="D99" s="1085"/>
      <c r="E99" s="1085"/>
      <c r="F99" s="1085"/>
      <c r="G99" s="1085"/>
      <c r="H99" s="1085"/>
      <c r="I99" s="1085"/>
      <c r="J99" s="1085"/>
      <c r="K99" s="1085"/>
      <c r="L99" s="1085"/>
      <c r="M99" s="1085"/>
      <c r="N99" s="1085"/>
    </row>
    <row r="100" spans="1:14" x14ac:dyDescent="0.25">
      <c r="A100" s="1085"/>
      <c r="B100" s="1085"/>
      <c r="C100" s="1085"/>
      <c r="D100" s="1085"/>
      <c r="E100" s="1085"/>
      <c r="F100" s="1085"/>
      <c r="G100" s="1085"/>
      <c r="H100" s="1085"/>
      <c r="I100" s="1085"/>
      <c r="J100" s="1085"/>
      <c r="K100" s="1085"/>
      <c r="L100" s="1085"/>
      <c r="M100" s="1085"/>
      <c r="N100" s="1085"/>
    </row>
    <row r="101" spans="1:14" x14ac:dyDescent="0.25">
      <c r="A101" s="1085"/>
      <c r="B101" s="1085"/>
      <c r="C101" s="1085"/>
      <c r="D101" s="1085"/>
      <c r="E101" s="1085"/>
      <c r="F101" s="1085"/>
      <c r="G101" s="1085"/>
      <c r="H101" s="1085"/>
      <c r="I101" s="1085"/>
      <c r="J101" s="1085"/>
      <c r="K101" s="1085"/>
      <c r="L101" s="1085"/>
      <c r="M101" s="1085"/>
      <c r="N101" s="1085"/>
    </row>
    <row r="102" spans="1:14" x14ac:dyDescent="0.25">
      <c r="A102" s="1085"/>
      <c r="B102" s="1085"/>
      <c r="C102" s="1085"/>
      <c r="D102" s="1085"/>
      <c r="E102" s="1085"/>
      <c r="F102" s="1085"/>
      <c r="G102" s="1085"/>
      <c r="H102" s="1085"/>
      <c r="I102" s="1085"/>
      <c r="J102" s="1085"/>
      <c r="K102" s="1085"/>
      <c r="L102" s="1085"/>
      <c r="M102" s="1085"/>
      <c r="N102" s="1085"/>
    </row>
    <row r="103" spans="1:14" x14ac:dyDescent="0.25">
      <c r="A103" s="1085"/>
      <c r="B103" s="1085"/>
      <c r="C103" s="1085"/>
      <c r="D103" s="1085"/>
      <c r="E103" s="1085"/>
      <c r="F103" s="1085"/>
      <c r="G103" s="1085"/>
      <c r="H103" s="1085"/>
      <c r="I103" s="1085"/>
      <c r="J103" s="1085"/>
      <c r="K103" s="1085"/>
      <c r="L103" s="1085"/>
      <c r="M103" s="1085"/>
      <c r="N103" s="1085"/>
    </row>
    <row r="104" spans="1:14" x14ac:dyDescent="0.25">
      <c r="A104" s="1085"/>
      <c r="B104" s="1085"/>
      <c r="C104" s="1085"/>
      <c r="D104" s="1085"/>
      <c r="E104" s="1085"/>
      <c r="F104" s="1085"/>
      <c r="G104" s="1085"/>
      <c r="H104" s="1085"/>
      <c r="I104" s="1085"/>
      <c r="J104" s="1085"/>
      <c r="K104" s="1085"/>
      <c r="L104" s="1085"/>
      <c r="M104" s="1085"/>
      <c r="N104" s="1085"/>
    </row>
    <row r="105" spans="1:14" x14ac:dyDescent="0.25">
      <c r="A105" s="1085"/>
      <c r="B105" s="1085"/>
      <c r="C105" s="1085"/>
      <c r="D105" s="1085"/>
      <c r="E105" s="1085"/>
      <c r="F105" s="1085"/>
      <c r="G105" s="1085"/>
      <c r="H105" s="1085"/>
      <c r="I105" s="1085"/>
      <c r="J105" s="1085"/>
      <c r="K105" s="1085"/>
      <c r="L105" s="1085"/>
      <c r="M105" s="1085"/>
      <c r="N105" s="1085"/>
    </row>
    <row r="106" spans="1:14" x14ac:dyDescent="0.25">
      <c r="A106" s="1085"/>
      <c r="B106" s="1085"/>
      <c r="C106" s="1085"/>
      <c r="D106" s="1085"/>
      <c r="E106" s="1085"/>
      <c r="F106" s="1085"/>
      <c r="G106" s="1085"/>
      <c r="H106" s="1085"/>
      <c r="I106" s="1085"/>
      <c r="J106" s="1085"/>
      <c r="K106" s="1085"/>
      <c r="L106" s="1085"/>
      <c r="M106" s="1085"/>
      <c r="N106" s="1085"/>
    </row>
    <row r="107" spans="1:14" x14ac:dyDescent="0.25">
      <c r="A107" s="1085"/>
      <c r="B107" s="1085"/>
      <c r="C107" s="1085"/>
      <c r="D107" s="1085"/>
      <c r="E107" s="1085"/>
      <c r="F107" s="1085"/>
      <c r="G107" s="1085"/>
      <c r="H107" s="1085"/>
      <c r="I107" s="1085"/>
      <c r="J107" s="1085"/>
      <c r="K107" s="1085"/>
      <c r="L107" s="1085"/>
      <c r="M107" s="1085"/>
      <c r="N107" s="1085"/>
    </row>
    <row r="108" spans="1:14" x14ac:dyDescent="0.25">
      <c r="A108" s="1085"/>
      <c r="B108" s="1085"/>
      <c r="C108" s="1085"/>
      <c r="D108" s="1085"/>
      <c r="E108" s="1085"/>
      <c r="F108" s="1085"/>
      <c r="G108" s="1085"/>
      <c r="H108" s="1085"/>
      <c r="I108" s="1085"/>
      <c r="J108" s="1085"/>
      <c r="K108" s="1085"/>
      <c r="L108" s="1085"/>
      <c r="M108" s="1085"/>
      <c r="N108" s="1085"/>
    </row>
    <row r="109" spans="1:14" x14ac:dyDescent="0.25">
      <c r="A109" s="1085"/>
      <c r="B109" s="1085"/>
      <c r="C109" s="1085"/>
      <c r="D109" s="1085"/>
      <c r="E109" s="1085"/>
      <c r="F109" s="1085"/>
      <c r="G109" s="1085"/>
      <c r="H109" s="1085"/>
      <c r="I109" s="1085"/>
      <c r="J109" s="1085"/>
      <c r="K109" s="1085"/>
      <c r="L109" s="1085"/>
      <c r="M109" s="1085"/>
      <c r="N109" s="1085"/>
    </row>
    <row r="110" spans="1:14" x14ac:dyDescent="0.25">
      <c r="A110" s="1085"/>
      <c r="B110" s="1085"/>
      <c r="C110" s="1085"/>
      <c r="D110" s="1085"/>
      <c r="E110" s="1085"/>
      <c r="F110" s="1085"/>
      <c r="G110" s="1085"/>
      <c r="H110" s="1085"/>
      <c r="I110" s="1085"/>
      <c r="J110" s="1085"/>
      <c r="K110" s="1085"/>
      <c r="L110" s="1085"/>
      <c r="M110" s="1085"/>
      <c r="N110" s="1085"/>
    </row>
    <row r="111" spans="1:14" x14ac:dyDescent="0.25">
      <c r="A111" s="1085"/>
      <c r="B111" s="1085"/>
      <c r="C111" s="1085"/>
      <c r="D111" s="1085"/>
      <c r="E111" s="1085"/>
      <c r="F111" s="1085"/>
      <c r="G111" s="1085"/>
      <c r="H111" s="1085"/>
      <c r="I111" s="1085"/>
      <c r="J111" s="1085"/>
      <c r="K111" s="1085"/>
      <c r="L111" s="1085"/>
      <c r="M111" s="1085"/>
      <c r="N111" s="1085"/>
    </row>
    <row r="112" spans="1:14" x14ac:dyDescent="0.25">
      <c r="A112" s="1085"/>
      <c r="B112" s="1085"/>
      <c r="C112" s="1085"/>
      <c r="D112" s="1085"/>
      <c r="E112" s="1085"/>
      <c r="F112" s="1085"/>
      <c r="G112" s="1085"/>
      <c r="H112" s="1085"/>
      <c r="I112" s="1085"/>
      <c r="J112" s="1085"/>
      <c r="K112" s="1085"/>
      <c r="L112" s="1085"/>
      <c r="M112" s="1085"/>
      <c r="N112" s="1085"/>
    </row>
    <row r="113" spans="1:14" x14ac:dyDescent="0.25">
      <c r="A113" s="1085"/>
      <c r="B113" s="1085"/>
      <c r="C113" s="1085"/>
      <c r="D113" s="1085"/>
      <c r="E113" s="1085"/>
      <c r="F113" s="1085"/>
      <c r="G113" s="1085"/>
      <c r="H113" s="1085"/>
      <c r="I113" s="1085"/>
      <c r="J113" s="1085"/>
      <c r="K113" s="1085"/>
      <c r="L113" s="1085"/>
      <c r="M113" s="1085"/>
      <c r="N113" s="1085"/>
    </row>
    <row r="114" spans="1:14" x14ac:dyDescent="0.25">
      <c r="A114" s="1085"/>
      <c r="B114" s="1085"/>
      <c r="C114" s="1085"/>
      <c r="D114" s="1085"/>
      <c r="E114" s="1085"/>
      <c r="F114" s="1085"/>
      <c r="G114" s="1085"/>
      <c r="H114" s="1085"/>
      <c r="I114" s="1085"/>
      <c r="J114" s="1085"/>
      <c r="K114" s="1085"/>
      <c r="L114" s="1085"/>
      <c r="M114" s="1085"/>
      <c r="N114" s="1085"/>
    </row>
    <row r="115" spans="1:14" x14ac:dyDescent="0.25">
      <c r="A115" s="1085"/>
      <c r="B115" s="1085"/>
      <c r="C115" s="1085"/>
      <c r="D115" s="1085"/>
      <c r="E115" s="1085"/>
      <c r="F115" s="1085"/>
      <c r="G115" s="1085"/>
      <c r="H115" s="1085"/>
      <c r="I115" s="1085"/>
      <c r="J115" s="1085"/>
      <c r="K115" s="1085"/>
      <c r="L115" s="1085"/>
      <c r="M115" s="1085"/>
      <c r="N115" s="1085"/>
    </row>
    <row r="116" spans="1:14" x14ac:dyDescent="0.25">
      <c r="A116" s="1085"/>
      <c r="B116" s="1085"/>
      <c r="C116" s="1085"/>
      <c r="D116" s="1085"/>
      <c r="E116" s="1085"/>
      <c r="F116" s="1085"/>
      <c r="G116" s="1085"/>
      <c r="H116" s="1085"/>
      <c r="I116" s="1085"/>
      <c r="J116" s="1085"/>
      <c r="K116" s="1085"/>
      <c r="L116" s="1085"/>
      <c r="M116" s="1085"/>
      <c r="N116" s="1085"/>
    </row>
    <row r="117" spans="1:14" x14ac:dyDescent="0.25">
      <c r="A117" s="1085"/>
      <c r="B117" s="1085"/>
      <c r="C117" s="1085"/>
      <c r="D117" s="1085"/>
      <c r="E117" s="1085"/>
      <c r="F117" s="1085"/>
      <c r="G117" s="1085"/>
      <c r="H117" s="1085"/>
      <c r="I117" s="1085"/>
      <c r="J117" s="1085"/>
      <c r="K117" s="1085"/>
      <c r="L117" s="1085"/>
      <c r="M117" s="1085"/>
      <c r="N117" s="1085"/>
    </row>
    <row r="118" spans="1:14" x14ac:dyDescent="0.25">
      <c r="A118" s="1085"/>
      <c r="B118" s="1085"/>
      <c r="C118" s="1085"/>
      <c r="D118" s="1085"/>
      <c r="E118" s="1085"/>
      <c r="F118" s="1085"/>
      <c r="G118" s="1085"/>
      <c r="H118" s="1085"/>
      <c r="I118" s="1085"/>
      <c r="J118" s="1085"/>
      <c r="K118" s="1085"/>
      <c r="L118" s="1085"/>
      <c r="M118" s="1085"/>
      <c r="N118" s="1085"/>
    </row>
    <row r="119" spans="1:14" x14ac:dyDescent="0.25">
      <c r="A119" s="1085"/>
      <c r="B119" s="1085"/>
      <c r="C119" s="1085"/>
      <c r="D119" s="1085"/>
      <c r="E119" s="1085"/>
      <c r="F119" s="1085"/>
      <c r="G119" s="1085"/>
      <c r="H119" s="1085"/>
      <c r="I119" s="1085"/>
      <c r="J119" s="1085"/>
      <c r="K119" s="1085"/>
      <c r="L119" s="1085"/>
      <c r="M119" s="1085"/>
      <c r="N119" s="1085"/>
    </row>
    <row r="120" spans="1:14" x14ac:dyDescent="0.25">
      <c r="A120" s="1085"/>
      <c r="B120" s="1085"/>
      <c r="C120" s="1085"/>
      <c r="D120" s="1085"/>
      <c r="E120" s="1085"/>
      <c r="F120" s="1085"/>
      <c r="G120" s="1085"/>
      <c r="H120" s="1085"/>
      <c r="I120" s="1085"/>
      <c r="J120" s="1085"/>
      <c r="K120" s="1085"/>
      <c r="L120" s="1085"/>
      <c r="M120" s="1085"/>
      <c r="N120" s="1085"/>
    </row>
    <row r="121" spans="1:14" x14ac:dyDescent="0.25">
      <c r="A121" s="1085"/>
      <c r="B121" s="1085"/>
      <c r="C121" s="1085"/>
      <c r="D121" s="1085"/>
      <c r="E121" s="1085"/>
      <c r="F121" s="1085"/>
      <c r="G121" s="1085"/>
      <c r="H121" s="1085"/>
      <c r="I121" s="1085"/>
      <c r="J121" s="1085"/>
      <c r="K121" s="1085"/>
      <c r="L121" s="1085"/>
      <c r="M121" s="1085"/>
      <c r="N121" s="1085"/>
    </row>
    <row r="122" spans="1:14" x14ac:dyDescent="0.25">
      <c r="A122" s="1085"/>
      <c r="B122" s="1085"/>
      <c r="C122" s="1085"/>
      <c r="D122" s="1085"/>
      <c r="E122" s="1085"/>
      <c r="F122" s="1085"/>
      <c r="G122" s="1085"/>
      <c r="H122" s="1085"/>
      <c r="I122" s="1085"/>
      <c r="J122" s="1085"/>
      <c r="K122" s="1085"/>
      <c r="L122" s="1085"/>
      <c r="M122" s="1085"/>
      <c r="N122" s="1085"/>
    </row>
    <row r="123" spans="1:14" x14ac:dyDescent="0.25">
      <c r="A123" s="1085"/>
      <c r="B123" s="1085"/>
      <c r="C123" s="1085"/>
      <c r="D123" s="1085"/>
      <c r="E123" s="1085"/>
      <c r="F123" s="1085"/>
      <c r="G123" s="1085"/>
      <c r="H123" s="1085"/>
      <c r="I123" s="1085"/>
      <c r="J123" s="1085"/>
      <c r="K123" s="1085"/>
      <c r="L123" s="1085"/>
      <c r="M123" s="1085"/>
      <c r="N123" s="1085"/>
    </row>
    <row r="124" spans="1:14" x14ac:dyDescent="0.25">
      <c r="A124" s="1085"/>
      <c r="B124" s="1085"/>
      <c r="C124" s="1085"/>
      <c r="D124" s="1085"/>
      <c r="E124" s="1085"/>
      <c r="F124" s="1085"/>
      <c r="G124" s="1085"/>
      <c r="H124" s="1085"/>
      <c r="I124" s="1085"/>
      <c r="J124" s="1085"/>
      <c r="K124" s="1085"/>
      <c r="L124" s="1085"/>
      <c r="M124" s="1085"/>
      <c r="N124" s="1085"/>
    </row>
    <row r="125" spans="1:14" x14ac:dyDescent="0.25">
      <c r="A125" s="1085"/>
      <c r="B125" s="1085"/>
      <c r="C125" s="1085"/>
      <c r="D125" s="1085"/>
      <c r="E125" s="1085"/>
      <c r="F125" s="1085"/>
      <c r="G125" s="1085"/>
      <c r="H125" s="1085"/>
      <c r="I125" s="1085"/>
      <c r="J125" s="1085"/>
      <c r="K125" s="1085"/>
      <c r="L125" s="1085"/>
      <c r="M125" s="1085"/>
      <c r="N125" s="1085"/>
    </row>
    <row r="126" spans="1:14" x14ac:dyDescent="0.25">
      <c r="A126" s="1085"/>
      <c r="B126" s="1085"/>
      <c r="C126" s="1085"/>
      <c r="D126" s="1085"/>
      <c r="E126" s="1085"/>
      <c r="F126" s="1085"/>
      <c r="G126" s="1085"/>
      <c r="H126" s="1085"/>
      <c r="I126" s="1085"/>
      <c r="J126" s="1085"/>
      <c r="K126" s="1085"/>
      <c r="L126" s="1085"/>
      <c r="M126" s="1085"/>
      <c r="N126" s="1085"/>
    </row>
    <row r="127" spans="1:14" x14ac:dyDescent="0.25">
      <c r="A127" s="1085"/>
      <c r="B127" s="1085"/>
      <c r="C127" s="1085"/>
      <c r="D127" s="1085"/>
      <c r="E127" s="1085"/>
      <c r="F127" s="1085"/>
      <c r="G127" s="1085"/>
      <c r="H127" s="1085"/>
      <c r="I127" s="1085"/>
      <c r="J127" s="1085"/>
      <c r="K127" s="1085"/>
      <c r="L127" s="1085"/>
      <c r="M127" s="1085"/>
      <c r="N127" s="1085"/>
    </row>
    <row r="128" spans="1:14" x14ac:dyDescent="0.25">
      <c r="A128" s="1085"/>
      <c r="B128" s="1085"/>
      <c r="C128" s="1085"/>
      <c r="D128" s="1085"/>
      <c r="E128" s="1085"/>
      <c r="F128" s="1085"/>
      <c r="G128" s="1085"/>
      <c r="H128" s="1085"/>
      <c r="I128" s="1085"/>
      <c r="J128" s="1085"/>
      <c r="K128" s="1085"/>
      <c r="L128" s="1085"/>
      <c r="M128" s="1085"/>
      <c r="N128" s="1085"/>
    </row>
    <row r="129" spans="1:14" x14ac:dyDescent="0.25">
      <c r="A129" s="1085"/>
      <c r="B129" s="1085"/>
      <c r="C129" s="1085"/>
      <c r="D129" s="1085"/>
      <c r="E129" s="1085"/>
      <c r="F129" s="1085"/>
      <c r="G129" s="1085"/>
      <c r="H129" s="1085"/>
      <c r="I129" s="1085"/>
      <c r="J129" s="1085"/>
      <c r="K129" s="1085"/>
      <c r="L129" s="1085"/>
      <c r="M129" s="1085"/>
      <c r="N129" s="1085"/>
    </row>
    <row r="130" spans="1:14" x14ac:dyDescent="0.25">
      <c r="A130" s="1085"/>
      <c r="B130" s="1085"/>
      <c r="C130" s="1085"/>
      <c r="D130" s="1085"/>
      <c r="E130" s="1085"/>
      <c r="F130" s="1085"/>
      <c r="G130" s="1085"/>
      <c r="H130" s="1085"/>
      <c r="I130" s="1085"/>
      <c r="J130" s="1085"/>
      <c r="K130" s="1085"/>
      <c r="L130" s="1085"/>
      <c r="M130" s="1085"/>
      <c r="N130" s="1085"/>
    </row>
    <row r="131" spans="1:14" x14ac:dyDescent="0.25">
      <c r="A131" s="1085"/>
      <c r="B131" s="1085"/>
      <c r="C131" s="1085"/>
      <c r="D131" s="1085"/>
      <c r="E131" s="1085"/>
      <c r="F131" s="1085"/>
      <c r="G131" s="1085"/>
      <c r="H131" s="1085"/>
      <c r="I131" s="1085"/>
      <c r="J131" s="1085"/>
      <c r="K131" s="1085"/>
      <c r="L131" s="1085"/>
      <c r="M131" s="1085"/>
      <c r="N131" s="1085"/>
    </row>
    <row r="132" spans="1:14" x14ac:dyDescent="0.25">
      <c r="A132" s="1085"/>
      <c r="B132" s="1085"/>
      <c r="C132" s="1085"/>
      <c r="D132" s="1085"/>
      <c r="E132" s="1085"/>
      <c r="F132" s="1085"/>
      <c r="G132" s="1085"/>
      <c r="H132" s="1085"/>
      <c r="I132" s="1085"/>
      <c r="J132" s="1085"/>
      <c r="K132" s="1085"/>
      <c r="L132" s="1085"/>
      <c r="M132" s="1085"/>
      <c r="N132" s="1085"/>
    </row>
    <row r="133" spans="1:14" x14ac:dyDescent="0.25">
      <c r="A133" s="1085"/>
      <c r="B133" s="1085"/>
      <c r="C133" s="1085"/>
      <c r="D133" s="1085"/>
      <c r="E133" s="1085"/>
      <c r="F133" s="1085"/>
      <c r="G133" s="1085"/>
      <c r="H133" s="1085"/>
      <c r="I133" s="1085"/>
      <c r="J133" s="1085"/>
      <c r="K133" s="1085"/>
      <c r="L133" s="1085"/>
      <c r="M133" s="1085"/>
      <c r="N133" s="1085"/>
    </row>
    <row r="134" spans="1:14" x14ac:dyDescent="0.25">
      <c r="A134" s="1085"/>
      <c r="B134" s="1085"/>
      <c r="C134" s="1085"/>
      <c r="D134" s="1085"/>
      <c r="E134" s="1085"/>
      <c r="F134" s="1085"/>
      <c r="G134" s="1085"/>
      <c r="H134" s="1085"/>
      <c r="I134" s="1085"/>
      <c r="J134" s="1085"/>
      <c r="K134" s="1085"/>
      <c r="L134" s="1085"/>
      <c r="M134" s="1085"/>
      <c r="N134" s="1085"/>
    </row>
    <row r="135" spans="1:14" x14ac:dyDescent="0.25">
      <c r="A135" s="1085"/>
      <c r="B135" s="1085"/>
      <c r="C135" s="1085"/>
      <c r="D135" s="1085"/>
      <c r="E135" s="1085"/>
      <c r="F135" s="1085"/>
      <c r="G135" s="1085"/>
      <c r="H135" s="1085"/>
      <c r="I135" s="1085"/>
      <c r="J135" s="1085"/>
      <c r="K135" s="1085"/>
      <c r="L135" s="1085"/>
      <c r="M135" s="1085"/>
      <c r="N135" s="1085"/>
    </row>
    <row r="136" spans="1:14" x14ac:dyDescent="0.25">
      <c r="A136" s="1085"/>
      <c r="B136" s="1085"/>
      <c r="C136" s="1085"/>
      <c r="D136" s="1085"/>
      <c r="E136" s="1085"/>
      <c r="F136" s="1085"/>
      <c r="G136" s="1085"/>
      <c r="H136" s="1085"/>
      <c r="I136" s="1085"/>
      <c r="J136" s="1085"/>
      <c r="K136" s="1085"/>
      <c r="L136" s="1085"/>
      <c r="M136" s="1085"/>
      <c r="N136" s="1085"/>
    </row>
    <row r="137" spans="1:14" x14ac:dyDescent="0.25">
      <c r="A137" s="1085"/>
      <c r="B137" s="1085"/>
      <c r="C137" s="1085"/>
      <c r="D137" s="1085"/>
      <c r="E137" s="1085"/>
      <c r="F137" s="1085"/>
      <c r="G137" s="1085"/>
      <c r="H137" s="1085"/>
      <c r="I137" s="1085"/>
      <c r="J137" s="1085"/>
      <c r="K137" s="1085"/>
      <c r="L137" s="1085"/>
      <c r="M137" s="1085"/>
      <c r="N137" s="1085"/>
    </row>
    <row r="138" spans="1:14" x14ac:dyDescent="0.25">
      <c r="A138" s="1085"/>
      <c r="B138" s="1085"/>
      <c r="C138" s="1085"/>
      <c r="D138" s="1085"/>
      <c r="E138" s="1085"/>
      <c r="F138" s="1085"/>
      <c r="G138" s="1085"/>
      <c r="H138" s="1085"/>
      <c r="I138" s="1085"/>
      <c r="J138" s="1085"/>
      <c r="K138" s="1085"/>
      <c r="L138" s="1085"/>
      <c r="M138" s="1085"/>
      <c r="N138" s="1085"/>
    </row>
    <row r="139" spans="1:14" x14ac:dyDescent="0.25">
      <c r="A139" s="1085"/>
      <c r="B139" s="1085"/>
      <c r="C139" s="1085"/>
      <c r="D139" s="1085"/>
      <c r="E139" s="1085"/>
      <c r="F139" s="1085"/>
      <c r="G139" s="1085"/>
      <c r="H139" s="1085"/>
      <c r="I139" s="1085"/>
      <c r="J139" s="1085"/>
      <c r="K139" s="1085"/>
      <c r="L139" s="1085"/>
      <c r="M139" s="1085"/>
      <c r="N139" s="1085"/>
    </row>
    <row r="140" spans="1:14" x14ac:dyDescent="0.25">
      <c r="A140" s="1085"/>
      <c r="B140" s="1085"/>
      <c r="C140" s="1085"/>
      <c r="D140" s="1085"/>
      <c r="E140" s="1085"/>
      <c r="F140" s="1085"/>
      <c r="G140" s="1085"/>
      <c r="H140" s="1085"/>
      <c r="I140" s="1085"/>
      <c r="J140" s="1085"/>
      <c r="K140" s="1085"/>
      <c r="L140" s="1085"/>
      <c r="M140" s="1085"/>
      <c r="N140" s="1085"/>
    </row>
    <row r="141" spans="1:14" x14ac:dyDescent="0.25">
      <c r="A141" s="1085"/>
      <c r="B141" s="1085"/>
      <c r="C141" s="1085"/>
      <c r="D141" s="1085"/>
      <c r="E141" s="1085"/>
      <c r="F141" s="1085"/>
      <c r="G141" s="1085"/>
      <c r="H141" s="1085"/>
      <c r="I141" s="1085"/>
      <c r="J141" s="1085"/>
      <c r="K141" s="1085"/>
      <c r="L141" s="1085"/>
      <c r="M141" s="1085"/>
      <c r="N141" s="1085"/>
    </row>
    <row r="142" spans="1:14" x14ac:dyDescent="0.25">
      <c r="A142" s="1085"/>
      <c r="B142" s="1085"/>
      <c r="C142" s="1085"/>
      <c r="D142" s="1085"/>
      <c r="E142" s="1085"/>
      <c r="F142" s="1085"/>
      <c r="G142" s="1085"/>
      <c r="H142" s="1085"/>
      <c r="I142" s="1085"/>
      <c r="J142" s="1085"/>
      <c r="K142" s="1085"/>
      <c r="L142" s="1085"/>
      <c r="M142" s="1085"/>
      <c r="N142" s="1085"/>
    </row>
    <row r="143" spans="1:14" x14ac:dyDescent="0.25">
      <c r="A143" s="1085"/>
      <c r="B143" s="1085"/>
      <c r="C143" s="1085"/>
      <c r="D143" s="1085"/>
      <c r="E143" s="1085"/>
      <c r="F143" s="1085"/>
      <c r="G143" s="1085"/>
      <c r="H143" s="1085"/>
      <c r="I143" s="1085"/>
      <c r="J143" s="1085"/>
      <c r="K143" s="1085"/>
      <c r="L143" s="1085"/>
      <c r="M143" s="1085"/>
      <c r="N143" s="1085"/>
    </row>
    <row r="144" spans="1:14" x14ac:dyDescent="0.25">
      <c r="A144" s="1085"/>
      <c r="B144" s="1085"/>
      <c r="C144" s="1085"/>
      <c r="D144" s="1085"/>
      <c r="E144" s="1085"/>
      <c r="F144" s="1085"/>
      <c r="G144" s="1085"/>
      <c r="H144" s="1085"/>
      <c r="I144" s="1085"/>
      <c r="J144" s="1085"/>
      <c r="K144" s="1085"/>
      <c r="L144" s="1085"/>
      <c r="M144" s="1085"/>
      <c r="N144" s="1085"/>
    </row>
    <row r="145" spans="1:14" x14ac:dyDescent="0.25">
      <c r="A145" s="1085"/>
      <c r="B145" s="1085"/>
      <c r="C145" s="1085"/>
      <c r="D145" s="1085"/>
      <c r="E145" s="1085"/>
      <c r="F145" s="1085"/>
      <c r="G145" s="1085"/>
      <c r="H145" s="1085"/>
      <c r="I145" s="1085"/>
      <c r="J145" s="1085"/>
      <c r="K145" s="1085"/>
      <c r="L145" s="1085"/>
      <c r="M145" s="1085"/>
      <c r="N145" s="1085"/>
    </row>
    <row r="146" spans="1:14" x14ac:dyDescent="0.25">
      <c r="A146" s="1085"/>
      <c r="B146" s="1085"/>
      <c r="C146" s="1085"/>
      <c r="D146" s="1085"/>
      <c r="E146" s="1085"/>
      <c r="F146" s="1085"/>
      <c r="G146" s="1085"/>
      <c r="H146" s="1085"/>
      <c r="I146" s="1085"/>
      <c r="J146" s="1085"/>
      <c r="K146" s="1085"/>
      <c r="L146" s="1085"/>
      <c r="M146" s="1085"/>
      <c r="N146" s="1085"/>
    </row>
    <row r="147" spans="1:14" x14ac:dyDescent="0.25">
      <c r="A147" s="1085"/>
      <c r="B147" s="1085"/>
      <c r="C147" s="1085"/>
      <c r="D147" s="1085"/>
      <c r="E147" s="1085"/>
      <c r="F147" s="1085"/>
      <c r="G147" s="1085"/>
      <c r="H147" s="1085"/>
      <c r="I147" s="1085"/>
      <c r="J147" s="1085"/>
      <c r="K147" s="1085"/>
      <c r="L147" s="1085"/>
      <c r="M147" s="1085"/>
      <c r="N147" s="1085"/>
    </row>
    <row r="148" spans="1:14" x14ac:dyDescent="0.25">
      <c r="A148" s="1085"/>
      <c r="B148" s="1085"/>
      <c r="C148" s="1085"/>
      <c r="D148" s="1085"/>
      <c r="E148" s="1085"/>
      <c r="F148" s="1085"/>
      <c r="G148" s="1085"/>
      <c r="H148" s="1085"/>
      <c r="I148" s="1085"/>
      <c r="J148" s="1085"/>
      <c r="K148" s="1085"/>
      <c r="L148" s="1085"/>
      <c r="M148" s="1085"/>
      <c r="N148" s="1085"/>
    </row>
    <row r="149" spans="1:14" x14ac:dyDescent="0.25">
      <c r="A149" s="1085"/>
      <c r="B149" s="1085"/>
      <c r="C149" s="1085"/>
      <c r="D149" s="1085"/>
      <c r="E149" s="1085"/>
      <c r="F149" s="1085"/>
      <c r="G149" s="1085"/>
      <c r="H149" s="1085"/>
      <c r="I149" s="1085"/>
      <c r="J149" s="1085"/>
      <c r="K149" s="1085"/>
      <c r="L149" s="1085"/>
      <c r="M149" s="1085"/>
      <c r="N149" s="1085"/>
    </row>
    <row r="150" spans="1:14" x14ac:dyDescent="0.25">
      <c r="A150" s="1085"/>
      <c r="B150" s="1085"/>
      <c r="C150" s="1085"/>
      <c r="D150" s="1085"/>
      <c r="E150" s="1085"/>
      <c r="F150" s="1085"/>
      <c r="G150" s="1085"/>
      <c r="H150" s="1085"/>
      <c r="I150" s="1085"/>
      <c r="J150" s="1085"/>
      <c r="K150" s="1085"/>
      <c r="L150" s="1085"/>
      <c r="M150" s="1085"/>
      <c r="N150" s="1085"/>
    </row>
    <row r="151" spans="1:14" x14ac:dyDescent="0.25">
      <c r="A151" s="1085"/>
      <c r="B151" s="1085"/>
      <c r="C151" s="1085"/>
      <c r="D151" s="1085"/>
      <c r="E151" s="1085"/>
      <c r="F151" s="1085"/>
      <c r="G151" s="1085"/>
      <c r="H151" s="1085"/>
      <c r="I151" s="1085"/>
      <c r="J151" s="1085"/>
      <c r="K151" s="1085"/>
      <c r="L151" s="1085"/>
      <c r="M151" s="1085"/>
      <c r="N151" s="1085"/>
    </row>
    <row r="152" spans="1:14" x14ac:dyDescent="0.25">
      <c r="A152" s="1085"/>
      <c r="B152" s="1085"/>
      <c r="C152" s="1085"/>
      <c r="D152" s="1085"/>
      <c r="E152" s="1085"/>
      <c r="F152" s="1085"/>
      <c r="G152" s="1085"/>
      <c r="H152" s="1085"/>
      <c r="I152" s="1085"/>
      <c r="J152" s="1085"/>
      <c r="K152" s="1085"/>
      <c r="L152" s="1085"/>
      <c r="M152" s="1085"/>
      <c r="N152" s="1085"/>
    </row>
    <row r="153" spans="1:14" x14ac:dyDescent="0.25">
      <c r="A153" s="1085"/>
      <c r="B153" s="1085"/>
      <c r="C153" s="1085"/>
      <c r="D153" s="1085"/>
      <c r="E153" s="1085"/>
      <c r="F153" s="1085"/>
      <c r="G153" s="1085"/>
      <c r="H153" s="1085"/>
      <c r="I153" s="1085"/>
      <c r="J153" s="1085"/>
      <c r="K153" s="1085"/>
      <c r="L153" s="1085"/>
      <c r="M153" s="1085"/>
      <c r="N153" s="1085"/>
    </row>
    <row r="154" spans="1:14" x14ac:dyDescent="0.25">
      <c r="A154" s="1085"/>
      <c r="B154" s="1085"/>
      <c r="C154" s="1085"/>
      <c r="D154" s="1085"/>
      <c r="E154" s="1085"/>
      <c r="F154" s="1085"/>
      <c r="G154" s="1085"/>
      <c r="H154" s="1085"/>
      <c r="I154" s="1085"/>
      <c r="J154" s="1085"/>
      <c r="K154" s="1085"/>
      <c r="L154" s="1085"/>
      <c r="M154" s="1085"/>
      <c r="N154" s="1085"/>
    </row>
    <row r="155" spans="1:14" x14ac:dyDescent="0.25">
      <c r="A155" s="1085"/>
      <c r="B155" s="1085"/>
      <c r="C155" s="1085"/>
      <c r="D155" s="1085"/>
      <c r="E155" s="1085"/>
      <c r="F155" s="1085"/>
      <c r="G155" s="1085"/>
      <c r="H155" s="1085"/>
      <c r="I155" s="1085"/>
      <c r="J155" s="1085"/>
      <c r="K155" s="1085"/>
      <c r="L155" s="1085"/>
      <c r="M155" s="1085"/>
      <c r="N155" s="1085"/>
    </row>
    <row r="156" spans="1:14" x14ac:dyDescent="0.25">
      <c r="A156" s="1085"/>
      <c r="B156" s="1085"/>
      <c r="C156" s="1085"/>
      <c r="D156" s="1085"/>
      <c r="E156" s="1085"/>
      <c r="F156" s="1085"/>
      <c r="G156" s="1085"/>
      <c r="H156" s="1085"/>
      <c r="I156" s="1085"/>
      <c r="J156" s="1085"/>
      <c r="K156" s="1085"/>
      <c r="L156" s="1085"/>
      <c r="M156" s="1085"/>
      <c r="N156" s="1085"/>
    </row>
    <row r="157" spans="1:14" x14ac:dyDescent="0.25">
      <c r="A157" s="1085"/>
      <c r="B157" s="1085"/>
      <c r="C157" s="1085"/>
      <c r="D157" s="1085"/>
      <c r="E157" s="1085"/>
      <c r="F157" s="1085"/>
      <c r="G157" s="1085"/>
      <c r="H157" s="1085"/>
      <c r="I157" s="1085"/>
      <c r="J157" s="1085"/>
      <c r="K157" s="1085"/>
      <c r="L157" s="1085"/>
      <c r="M157" s="1085"/>
      <c r="N157" s="1085"/>
    </row>
    <row r="158" spans="1:14" x14ac:dyDescent="0.25">
      <c r="A158" s="1085"/>
      <c r="B158" s="1085"/>
      <c r="C158" s="1085"/>
      <c r="D158" s="1085"/>
      <c r="E158" s="1085"/>
      <c r="F158" s="1085"/>
      <c r="G158" s="1085"/>
      <c r="H158" s="1085"/>
      <c r="I158" s="1085"/>
      <c r="J158" s="1085"/>
      <c r="K158" s="1085"/>
      <c r="L158" s="1085"/>
      <c r="M158" s="1085"/>
      <c r="N158" s="1085"/>
    </row>
    <row r="159" spans="1:14" x14ac:dyDescent="0.25">
      <c r="A159" s="1085"/>
      <c r="B159" s="1085"/>
      <c r="C159" s="1085"/>
      <c r="D159" s="1085"/>
      <c r="E159" s="1085"/>
      <c r="F159" s="1085"/>
      <c r="G159" s="1085"/>
      <c r="H159" s="1085"/>
      <c r="I159" s="1085"/>
      <c r="J159" s="1085"/>
      <c r="K159" s="1085"/>
      <c r="L159" s="1085"/>
      <c r="M159" s="1085"/>
      <c r="N159" s="1085"/>
    </row>
    <row r="160" spans="1:14" x14ac:dyDescent="0.25">
      <c r="A160" s="1085"/>
      <c r="B160" s="1085"/>
      <c r="C160" s="1085"/>
      <c r="D160" s="1085"/>
      <c r="E160" s="1085"/>
      <c r="F160" s="1085"/>
      <c r="G160" s="1085"/>
      <c r="H160" s="1085"/>
      <c r="I160" s="1085"/>
      <c r="J160" s="1085"/>
      <c r="K160" s="1085"/>
      <c r="L160" s="1085"/>
      <c r="M160" s="1085"/>
      <c r="N160" s="1085"/>
    </row>
    <row r="161" spans="1:14" x14ac:dyDescent="0.25">
      <c r="A161" s="1085"/>
      <c r="B161" s="1085"/>
      <c r="C161" s="1085"/>
      <c r="D161" s="1085"/>
      <c r="E161" s="1085"/>
      <c r="F161" s="1085"/>
      <c r="G161" s="1085"/>
      <c r="H161" s="1085"/>
      <c r="I161" s="1085"/>
      <c r="J161" s="1085"/>
      <c r="K161" s="1085"/>
      <c r="L161" s="1085"/>
      <c r="M161" s="1085"/>
      <c r="N161" s="1085"/>
    </row>
    <row r="162" spans="1:14" x14ac:dyDescent="0.25">
      <c r="A162" s="1085"/>
      <c r="B162" s="1085"/>
      <c r="C162" s="1085"/>
      <c r="D162" s="1085"/>
      <c r="E162" s="1085"/>
      <c r="F162" s="1085"/>
      <c r="G162" s="1085"/>
      <c r="H162" s="1085"/>
      <c r="I162" s="1085"/>
      <c r="J162" s="1085"/>
      <c r="K162" s="1085"/>
      <c r="L162" s="1085"/>
      <c r="M162" s="1085"/>
      <c r="N162" s="1085"/>
    </row>
    <row r="163" spans="1:14" x14ac:dyDescent="0.25">
      <c r="A163" s="1085"/>
      <c r="B163" s="1085"/>
      <c r="C163" s="1085"/>
      <c r="D163" s="1085"/>
      <c r="E163" s="1085"/>
      <c r="F163" s="1085"/>
      <c r="G163" s="1085"/>
      <c r="H163" s="1085"/>
      <c r="I163" s="1085"/>
      <c r="J163" s="1085"/>
      <c r="K163" s="1085"/>
      <c r="L163" s="1085"/>
      <c r="M163" s="1085"/>
      <c r="N163" s="1085"/>
    </row>
    <row r="164" spans="1:14" x14ac:dyDescent="0.25">
      <c r="A164" s="1085"/>
      <c r="B164" s="1085"/>
      <c r="C164" s="1085"/>
      <c r="D164" s="1085"/>
      <c r="E164" s="1085"/>
      <c r="F164" s="1085"/>
      <c r="G164" s="1085"/>
      <c r="H164" s="1085"/>
      <c r="I164" s="1085"/>
      <c r="J164" s="1085"/>
      <c r="K164" s="1085"/>
      <c r="L164" s="1085"/>
      <c r="M164" s="1085"/>
      <c r="N164" s="1085"/>
    </row>
    <row r="165" spans="1:14" x14ac:dyDescent="0.25">
      <c r="A165" s="1085"/>
      <c r="B165" s="1085"/>
      <c r="C165" s="1085"/>
      <c r="D165" s="1085"/>
      <c r="E165" s="1085"/>
      <c r="F165" s="1085"/>
      <c r="G165" s="1085"/>
      <c r="H165" s="1085"/>
      <c r="I165" s="1085"/>
      <c r="J165" s="1085"/>
      <c r="K165" s="1085"/>
      <c r="L165" s="1085"/>
      <c r="M165" s="1085"/>
      <c r="N165" s="1085"/>
    </row>
    <row r="166" spans="1:14" x14ac:dyDescent="0.25">
      <c r="A166" s="1085"/>
      <c r="B166" s="1085"/>
      <c r="C166" s="1085"/>
      <c r="D166" s="1085"/>
      <c r="E166" s="1085"/>
      <c r="F166" s="1085"/>
      <c r="G166" s="1085"/>
      <c r="H166" s="1085"/>
      <c r="I166" s="1085"/>
      <c r="J166" s="1085"/>
      <c r="K166" s="1085"/>
      <c r="L166" s="1085"/>
      <c r="M166" s="1085"/>
      <c r="N166" s="1085"/>
    </row>
    <row r="167" spans="1:14" x14ac:dyDescent="0.25">
      <c r="A167" s="1085"/>
      <c r="B167" s="1085"/>
      <c r="C167" s="1085"/>
      <c r="D167" s="1085"/>
      <c r="E167" s="1085"/>
      <c r="F167" s="1085"/>
      <c r="G167" s="1085"/>
      <c r="H167" s="1085"/>
      <c r="I167" s="1085"/>
      <c r="J167" s="1085"/>
      <c r="K167" s="1085"/>
      <c r="L167" s="1085"/>
      <c r="M167" s="1085"/>
      <c r="N167" s="1085"/>
    </row>
    <row r="168" spans="1:14" x14ac:dyDescent="0.25">
      <c r="A168" s="1085"/>
      <c r="B168" s="1085"/>
      <c r="C168" s="1085"/>
      <c r="D168" s="1085"/>
      <c r="E168" s="1085"/>
      <c r="F168" s="1085"/>
      <c r="G168" s="1085"/>
      <c r="H168" s="1085"/>
      <c r="I168" s="1085"/>
      <c r="J168" s="1085"/>
      <c r="K168" s="1085"/>
      <c r="L168" s="1085"/>
      <c r="M168" s="1085"/>
      <c r="N168" s="1085"/>
    </row>
    <row r="169" spans="1:14" x14ac:dyDescent="0.25">
      <c r="A169" s="1085"/>
      <c r="B169" s="1085"/>
      <c r="C169" s="1085"/>
      <c r="D169" s="1085"/>
      <c r="E169" s="1085"/>
      <c r="F169" s="1085"/>
      <c r="G169" s="1085"/>
      <c r="H169" s="1085"/>
      <c r="I169" s="1085"/>
      <c r="J169" s="1085"/>
      <c r="K169" s="1085"/>
      <c r="L169" s="1085"/>
      <c r="M169" s="1085"/>
      <c r="N169" s="1085"/>
    </row>
    <row r="170" spans="1:14" x14ac:dyDescent="0.25">
      <c r="A170" s="1085"/>
      <c r="B170" s="1085"/>
      <c r="C170" s="1085"/>
      <c r="D170" s="1085"/>
      <c r="E170" s="1085"/>
      <c r="F170" s="1085"/>
      <c r="G170" s="1085"/>
      <c r="H170" s="1085"/>
      <c r="I170" s="1085"/>
      <c r="J170" s="1085"/>
      <c r="K170" s="1085"/>
      <c r="L170" s="1085"/>
      <c r="M170" s="1085"/>
      <c r="N170" s="1085"/>
    </row>
    <row r="171" spans="1:14" x14ac:dyDescent="0.25">
      <c r="A171" s="1085"/>
      <c r="B171" s="1085"/>
      <c r="C171" s="1085"/>
      <c r="D171" s="1085"/>
      <c r="E171" s="1085"/>
      <c r="F171" s="1085"/>
      <c r="G171" s="1085"/>
      <c r="H171" s="1085"/>
      <c r="I171" s="1085"/>
      <c r="J171" s="1085"/>
      <c r="K171" s="1085"/>
      <c r="L171" s="1085"/>
      <c r="M171" s="1085"/>
      <c r="N171" s="1085"/>
    </row>
    <row r="172" spans="1:14" x14ac:dyDescent="0.25">
      <c r="A172" s="1085"/>
      <c r="B172" s="1085"/>
      <c r="C172" s="1085"/>
      <c r="D172" s="1085"/>
      <c r="E172" s="1085"/>
      <c r="F172" s="1085"/>
      <c r="G172" s="1085"/>
      <c r="H172" s="1085"/>
      <c r="I172" s="1085"/>
      <c r="J172" s="1085"/>
      <c r="K172" s="1085"/>
      <c r="L172" s="1085"/>
      <c r="M172" s="1085"/>
      <c r="N172" s="1085"/>
    </row>
    <row r="173" spans="1:14" x14ac:dyDescent="0.25">
      <c r="A173" s="1085"/>
      <c r="B173" s="1085"/>
      <c r="C173" s="1085"/>
      <c r="D173" s="1085"/>
      <c r="E173" s="1085"/>
      <c r="F173" s="1085"/>
      <c r="G173" s="1085"/>
      <c r="H173" s="1085"/>
      <c r="I173" s="1085"/>
      <c r="J173" s="1085"/>
      <c r="K173" s="1085"/>
      <c r="L173" s="1085"/>
      <c r="M173" s="1085"/>
      <c r="N173" s="1085"/>
    </row>
    <row r="174" spans="1:14" x14ac:dyDescent="0.25">
      <c r="A174" s="1085"/>
      <c r="B174" s="1085"/>
      <c r="C174" s="1085"/>
      <c r="D174" s="1085"/>
      <c r="E174" s="1085"/>
      <c r="F174" s="1085"/>
      <c r="G174" s="1085"/>
      <c r="H174" s="1085"/>
      <c r="I174" s="1085"/>
      <c r="J174" s="1085"/>
      <c r="K174" s="1085"/>
      <c r="L174" s="1085"/>
      <c r="M174" s="1085"/>
      <c r="N174" s="1085"/>
    </row>
    <row r="175" spans="1:14" x14ac:dyDescent="0.25">
      <c r="A175" s="1085"/>
      <c r="B175" s="1085"/>
      <c r="C175" s="1085"/>
      <c r="D175" s="1085"/>
      <c r="E175" s="1085"/>
      <c r="F175" s="1085"/>
      <c r="G175" s="1085"/>
      <c r="H175" s="1085"/>
      <c r="I175" s="1085"/>
      <c r="J175" s="1085"/>
      <c r="K175" s="1085"/>
      <c r="L175" s="1085"/>
      <c r="M175" s="1085"/>
      <c r="N175" s="1085"/>
    </row>
    <row r="176" spans="1:14" x14ac:dyDescent="0.25">
      <c r="A176" s="1085"/>
      <c r="B176" s="1085"/>
      <c r="C176" s="1085"/>
      <c r="D176" s="1085"/>
      <c r="E176" s="1085"/>
      <c r="F176" s="1085"/>
      <c r="G176" s="1085"/>
      <c r="H176" s="1085"/>
      <c r="I176" s="1085"/>
      <c r="J176" s="1085"/>
      <c r="K176" s="1085"/>
      <c r="L176" s="1085"/>
      <c r="M176" s="1085"/>
      <c r="N176" s="1085"/>
    </row>
    <row r="177" spans="1:14" x14ac:dyDescent="0.25">
      <c r="A177" s="1085"/>
      <c r="B177" s="1085"/>
      <c r="C177" s="1085"/>
      <c r="D177" s="1085"/>
      <c r="E177" s="1085"/>
      <c r="F177" s="1085"/>
      <c r="G177" s="1085"/>
      <c r="H177" s="1085"/>
      <c r="I177" s="1085"/>
      <c r="J177" s="1085"/>
      <c r="K177" s="1085"/>
      <c r="L177" s="1085"/>
      <c r="M177" s="1085"/>
      <c r="N177" s="1085"/>
    </row>
    <row r="178" spans="1:14" x14ac:dyDescent="0.25">
      <c r="A178" s="1085"/>
      <c r="B178" s="1085"/>
      <c r="C178" s="1085"/>
      <c r="D178" s="1085"/>
      <c r="E178" s="1085"/>
      <c r="F178" s="1085"/>
      <c r="G178" s="1085"/>
      <c r="H178" s="1085"/>
      <c r="I178" s="1085"/>
      <c r="J178" s="1085"/>
      <c r="K178" s="1085"/>
      <c r="L178" s="1085"/>
      <c r="M178" s="1085"/>
      <c r="N178" s="1085"/>
    </row>
    <row r="179" spans="1:14" x14ac:dyDescent="0.25">
      <c r="A179" s="1085"/>
      <c r="B179" s="1085"/>
      <c r="C179" s="1085"/>
      <c r="D179" s="1085"/>
      <c r="E179" s="1085"/>
      <c r="F179" s="1085"/>
      <c r="G179" s="1085"/>
      <c r="H179" s="1085"/>
      <c r="I179" s="1085"/>
      <c r="J179" s="1085"/>
      <c r="K179" s="1085"/>
      <c r="L179" s="1085"/>
      <c r="M179" s="1085"/>
      <c r="N179" s="1085"/>
    </row>
    <row r="180" spans="1:14" x14ac:dyDescent="0.25">
      <c r="A180" s="1085"/>
      <c r="B180" s="1085"/>
      <c r="C180" s="1085"/>
      <c r="D180" s="1085"/>
      <c r="E180" s="1085"/>
      <c r="F180" s="1085"/>
      <c r="G180" s="1085"/>
      <c r="H180" s="1085"/>
      <c r="I180" s="1085"/>
      <c r="J180" s="1085"/>
      <c r="K180" s="1085"/>
      <c r="L180" s="1085"/>
      <c r="M180" s="1085"/>
      <c r="N180" s="1085"/>
    </row>
    <row r="181" spans="1:14" x14ac:dyDescent="0.25">
      <c r="A181" s="1085"/>
      <c r="B181" s="1085"/>
      <c r="C181" s="1085"/>
      <c r="D181" s="1085"/>
      <c r="E181" s="1085"/>
      <c r="F181" s="1085"/>
      <c r="G181" s="1085"/>
      <c r="H181" s="1085"/>
      <c r="I181" s="1085"/>
      <c r="J181" s="1085"/>
      <c r="K181" s="1085"/>
      <c r="L181" s="1085"/>
      <c r="M181" s="1085"/>
      <c r="N181" s="1085"/>
    </row>
    <row r="182" spans="1:14" x14ac:dyDescent="0.25">
      <c r="A182" s="1085"/>
      <c r="B182" s="1085"/>
      <c r="C182" s="1085"/>
      <c r="D182" s="1085"/>
      <c r="E182" s="1085"/>
      <c r="F182" s="1085"/>
      <c r="G182" s="1085"/>
      <c r="H182" s="1085"/>
      <c r="I182" s="1085"/>
      <c r="J182" s="1085"/>
      <c r="K182" s="1085"/>
      <c r="L182" s="1085"/>
      <c r="M182" s="1085"/>
      <c r="N182" s="1085"/>
    </row>
    <row r="183" spans="1:14" x14ac:dyDescent="0.25">
      <c r="A183" s="1085"/>
      <c r="B183" s="1085"/>
      <c r="C183" s="1085"/>
      <c r="D183" s="1085"/>
      <c r="E183" s="1085"/>
      <c r="F183" s="1085"/>
      <c r="G183" s="1085"/>
      <c r="H183" s="1085"/>
      <c r="I183" s="1085"/>
      <c r="J183" s="1085"/>
      <c r="K183" s="1085"/>
      <c r="L183" s="1085"/>
      <c r="M183" s="1085"/>
      <c r="N183" s="1085"/>
    </row>
    <row r="184" spans="1:14" x14ac:dyDescent="0.25">
      <c r="A184" s="1085"/>
      <c r="B184" s="1085"/>
      <c r="C184" s="1085"/>
      <c r="D184" s="1085"/>
      <c r="E184" s="1085"/>
      <c r="F184" s="1085"/>
      <c r="G184" s="1085"/>
      <c r="H184" s="1085"/>
      <c r="I184" s="1085"/>
      <c r="J184" s="1085"/>
      <c r="K184" s="1085"/>
      <c r="L184" s="1085"/>
      <c r="M184" s="1085"/>
      <c r="N184" s="1085"/>
    </row>
    <row r="185" spans="1:14" x14ac:dyDescent="0.25">
      <c r="A185" s="1085"/>
      <c r="B185" s="1085"/>
      <c r="C185" s="1085"/>
      <c r="D185" s="1085"/>
      <c r="E185" s="1085"/>
      <c r="F185" s="1085"/>
      <c r="G185" s="1085"/>
      <c r="H185" s="1085"/>
      <c r="I185" s="1085"/>
      <c r="J185" s="1085"/>
      <c r="K185" s="1085"/>
      <c r="L185" s="1085"/>
      <c r="M185" s="1085"/>
      <c r="N185" s="1085"/>
    </row>
    <row r="186" spans="1:14" x14ac:dyDescent="0.25">
      <c r="A186" s="1085"/>
      <c r="B186" s="1085"/>
      <c r="C186" s="1085"/>
      <c r="D186" s="1085"/>
      <c r="E186" s="1085"/>
      <c r="F186" s="1085"/>
      <c r="G186" s="1085"/>
      <c r="H186" s="1085"/>
      <c r="I186" s="1085"/>
      <c r="J186" s="1085"/>
      <c r="K186" s="1085"/>
      <c r="L186" s="1085"/>
      <c r="M186" s="1085"/>
      <c r="N186" s="1085"/>
    </row>
    <row r="187" spans="1:14" x14ac:dyDescent="0.25">
      <c r="A187" s="1085"/>
      <c r="B187" s="1085"/>
      <c r="C187" s="1085"/>
      <c r="D187" s="1085"/>
      <c r="E187" s="1085"/>
      <c r="F187" s="1085"/>
      <c r="G187" s="1085"/>
      <c r="H187" s="1085"/>
      <c r="I187" s="1085"/>
      <c r="J187" s="1085"/>
      <c r="K187" s="1085"/>
      <c r="L187" s="1085"/>
      <c r="M187" s="1085"/>
      <c r="N187" s="1085"/>
    </row>
    <row r="188" spans="1:14" x14ac:dyDescent="0.25">
      <c r="A188" s="1085"/>
      <c r="B188" s="1085"/>
      <c r="C188" s="1085"/>
      <c r="D188" s="1085"/>
      <c r="E188" s="1085"/>
      <c r="F188" s="1085"/>
      <c r="G188" s="1085"/>
      <c r="H188" s="1085"/>
      <c r="I188" s="1085"/>
      <c r="J188" s="1085"/>
      <c r="K188" s="1085"/>
      <c r="L188" s="1085"/>
      <c r="M188" s="1085"/>
      <c r="N188" s="1085"/>
    </row>
    <row r="189" spans="1:14" x14ac:dyDescent="0.25">
      <c r="A189" s="1085"/>
      <c r="B189" s="1085"/>
      <c r="C189" s="1085"/>
      <c r="D189" s="1085"/>
      <c r="E189" s="1085"/>
      <c r="F189" s="1085"/>
      <c r="G189" s="1085"/>
      <c r="H189" s="1085"/>
      <c r="I189" s="1085"/>
      <c r="J189" s="1085"/>
      <c r="K189" s="1085"/>
      <c r="L189" s="1085"/>
      <c r="M189" s="1085"/>
      <c r="N189" s="1085"/>
    </row>
    <row r="190" spans="1:14" x14ac:dyDescent="0.25">
      <c r="A190" s="1085"/>
      <c r="B190" s="1085"/>
      <c r="C190" s="1085"/>
      <c r="D190" s="1085"/>
      <c r="E190" s="1085"/>
      <c r="F190" s="1085"/>
      <c r="G190" s="1085"/>
      <c r="H190" s="1085"/>
      <c r="I190" s="1085"/>
      <c r="J190" s="1085"/>
      <c r="K190" s="1085"/>
      <c r="L190" s="1085"/>
      <c r="M190" s="1085"/>
      <c r="N190" s="1085"/>
    </row>
    <row r="191" spans="1:14" x14ac:dyDescent="0.25">
      <c r="A191" s="1085"/>
      <c r="B191" s="1085"/>
      <c r="C191" s="1085"/>
      <c r="D191" s="1085"/>
      <c r="E191" s="1085"/>
      <c r="F191" s="1085"/>
      <c r="G191" s="1085"/>
      <c r="H191" s="1085"/>
      <c r="I191" s="1085"/>
      <c r="J191" s="1085"/>
      <c r="K191" s="1085"/>
      <c r="L191" s="1085"/>
      <c r="M191" s="1085"/>
      <c r="N191" s="1085"/>
    </row>
    <row r="192" spans="1:14" x14ac:dyDescent="0.25">
      <c r="A192" s="1085"/>
      <c r="B192" s="1085"/>
      <c r="C192" s="1085"/>
      <c r="D192" s="1085"/>
      <c r="E192" s="1085"/>
      <c r="F192" s="1085"/>
      <c r="G192" s="1085"/>
      <c r="H192" s="1085"/>
      <c r="I192" s="1085"/>
      <c r="J192" s="1085"/>
      <c r="K192" s="1085"/>
      <c r="L192" s="1085"/>
      <c r="M192" s="1085"/>
      <c r="N192" s="1085"/>
    </row>
    <row r="193" spans="1:14" x14ac:dyDescent="0.25">
      <c r="A193" s="1085"/>
      <c r="B193" s="1085"/>
      <c r="C193" s="1085"/>
      <c r="D193" s="1085"/>
      <c r="E193" s="1085"/>
      <c r="F193" s="1085"/>
      <c r="G193" s="1085"/>
      <c r="H193" s="1085"/>
      <c r="I193" s="1085"/>
      <c r="J193" s="1085"/>
      <c r="K193" s="1085"/>
      <c r="L193" s="1085"/>
      <c r="M193" s="1085"/>
      <c r="N193" s="1085"/>
    </row>
    <row r="194" spans="1:14" x14ac:dyDescent="0.25">
      <c r="A194" s="1085"/>
      <c r="B194" s="1085"/>
      <c r="C194" s="1085"/>
      <c r="D194" s="1085"/>
      <c r="E194" s="1085"/>
      <c r="F194" s="1085"/>
      <c r="G194" s="1085"/>
      <c r="H194" s="1085"/>
      <c r="I194" s="1085"/>
      <c r="J194" s="1085"/>
      <c r="K194" s="1085"/>
      <c r="L194" s="1085"/>
      <c r="M194" s="1085"/>
      <c r="N194" s="1085"/>
    </row>
    <row r="195" spans="1:14" x14ac:dyDescent="0.25">
      <c r="A195" s="1085"/>
      <c r="B195" s="1085"/>
      <c r="C195" s="1085"/>
      <c r="D195" s="1085"/>
      <c r="E195" s="1085"/>
      <c r="F195" s="1085"/>
      <c r="G195" s="1085"/>
      <c r="H195" s="1085"/>
      <c r="I195" s="1085"/>
      <c r="J195" s="1085"/>
      <c r="K195" s="1085"/>
      <c r="L195" s="1085"/>
      <c r="M195" s="1085"/>
      <c r="N195" s="1085"/>
    </row>
    <row r="196" spans="1:14" x14ac:dyDescent="0.25">
      <c r="A196" s="1085"/>
      <c r="B196" s="1085"/>
      <c r="C196" s="1085"/>
      <c r="D196" s="1085"/>
      <c r="E196" s="1085"/>
      <c r="F196" s="1085"/>
      <c r="G196" s="1085"/>
      <c r="H196" s="1085"/>
      <c r="I196" s="1085"/>
      <c r="J196" s="1085"/>
      <c r="K196" s="1085"/>
      <c r="L196" s="1085"/>
      <c r="M196" s="1085"/>
      <c r="N196" s="1085"/>
    </row>
    <row r="197" spans="1:14" x14ac:dyDescent="0.25">
      <c r="A197" s="1085"/>
      <c r="B197" s="1085"/>
      <c r="C197" s="1085"/>
      <c r="D197" s="1085"/>
      <c r="E197" s="1085"/>
      <c r="F197" s="1085"/>
      <c r="G197" s="1085"/>
      <c r="H197" s="1085"/>
      <c r="I197" s="1085"/>
      <c r="J197" s="1085"/>
      <c r="K197" s="1085"/>
      <c r="L197" s="1085"/>
      <c r="M197" s="1085"/>
      <c r="N197" s="1085"/>
    </row>
    <row r="198" spans="1:14" x14ac:dyDescent="0.25">
      <c r="A198" s="1085"/>
      <c r="B198" s="1085"/>
      <c r="C198" s="1085"/>
      <c r="D198" s="1085"/>
      <c r="E198" s="1085"/>
      <c r="F198" s="1085"/>
      <c r="G198" s="1085"/>
      <c r="H198" s="1085"/>
      <c r="I198" s="1085"/>
      <c r="J198" s="1085"/>
      <c r="K198" s="1085"/>
      <c r="L198" s="1085"/>
      <c r="M198" s="1085"/>
      <c r="N198" s="1085"/>
    </row>
    <row r="199" spans="1:14" x14ac:dyDescent="0.25">
      <c r="A199" s="1085"/>
      <c r="B199" s="1085"/>
      <c r="C199" s="1085"/>
      <c r="D199" s="1085"/>
      <c r="E199" s="1085"/>
      <c r="F199" s="1085"/>
      <c r="G199" s="1085"/>
      <c r="H199" s="1085"/>
      <c r="I199" s="1085"/>
      <c r="J199" s="1085"/>
      <c r="K199" s="1085"/>
      <c r="L199" s="1085"/>
      <c r="M199" s="1085"/>
      <c r="N199" s="1085"/>
    </row>
    <row r="200" spans="1:14" x14ac:dyDescent="0.25">
      <c r="A200" s="1085"/>
      <c r="B200" s="1085"/>
      <c r="C200" s="1085"/>
      <c r="D200" s="1085"/>
      <c r="E200" s="1085"/>
      <c r="F200" s="1085"/>
      <c r="G200" s="1085"/>
      <c r="H200" s="1085"/>
      <c r="I200" s="1085"/>
      <c r="J200" s="1085"/>
      <c r="K200" s="1085"/>
      <c r="L200" s="1085"/>
      <c r="M200" s="1085"/>
      <c r="N200" s="1085"/>
    </row>
    <row r="201" spans="1:14" x14ac:dyDescent="0.25">
      <c r="A201" s="1085"/>
      <c r="B201" s="1085"/>
      <c r="C201" s="1085"/>
      <c r="D201" s="1085"/>
      <c r="E201" s="1085"/>
      <c r="F201" s="1085"/>
      <c r="G201" s="1085"/>
      <c r="H201" s="1085"/>
      <c r="I201" s="1085"/>
      <c r="J201" s="1085"/>
      <c r="K201" s="1085"/>
      <c r="L201" s="1085"/>
      <c r="M201" s="1085"/>
      <c r="N201" s="1085"/>
    </row>
    <row r="202" spans="1:14" x14ac:dyDescent="0.25">
      <c r="A202" s="1085"/>
      <c r="B202" s="1085"/>
      <c r="C202" s="1085"/>
      <c r="D202" s="1085"/>
      <c r="E202" s="1085"/>
      <c r="F202" s="1085"/>
      <c r="G202" s="1085"/>
      <c r="H202" s="1085"/>
      <c r="I202" s="1085"/>
      <c r="J202" s="1085"/>
      <c r="K202" s="1085"/>
      <c r="L202" s="1085"/>
      <c r="M202" s="1085"/>
      <c r="N202" s="1085"/>
    </row>
    <row r="203" spans="1:14" x14ac:dyDescent="0.25">
      <c r="A203" s="1085"/>
      <c r="B203" s="1085"/>
      <c r="C203" s="1085"/>
      <c r="D203" s="1085"/>
      <c r="E203" s="1085"/>
      <c r="F203" s="1085"/>
      <c r="G203" s="1085"/>
      <c r="H203" s="1085"/>
      <c r="I203" s="1085"/>
      <c r="J203" s="1085"/>
      <c r="K203" s="1085"/>
      <c r="L203" s="1085"/>
      <c r="M203" s="1085"/>
      <c r="N203" s="1085"/>
    </row>
    <row r="204" spans="1:14" x14ac:dyDescent="0.25">
      <c r="A204" s="1085"/>
      <c r="B204" s="1085"/>
      <c r="C204" s="1085"/>
      <c r="D204" s="1085"/>
      <c r="E204" s="1085"/>
      <c r="F204" s="1085"/>
      <c r="G204" s="1085"/>
      <c r="H204" s="1085"/>
      <c r="I204" s="1085"/>
      <c r="J204" s="1085"/>
      <c r="K204" s="1085"/>
      <c r="L204" s="1085"/>
      <c r="M204" s="1085"/>
      <c r="N204" s="1085"/>
    </row>
    <row r="205" spans="1:14" x14ac:dyDescent="0.25">
      <c r="A205" s="1085"/>
      <c r="B205" s="1085"/>
      <c r="C205" s="1085"/>
      <c r="D205" s="1085"/>
      <c r="E205" s="1085"/>
      <c r="F205" s="1085"/>
      <c r="G205" s="1085"/>
      <c r="H205" s="1085"/>
      <c r="I205" s="1085"/>
      <c r="J205" s="1085"/>
      <c r="K205" s="1085"/>
      <c r="L205" s="1085"/>
      <c r="M205" s="1085"/>
      <c r="N205" s="1085"/>
    </row>
    <row r="206" spans="1:14" x14ac:dyDescent="0.25">
      <c r="A206" s="1085"/>
      <c r="B206" s="1085"/>
      <c r="C206" s="1085"/>
      <c r="D206" s="1085"/>
      <c r="E206" s="1085"/>
      <c r="F206" s="1085"/>
      <c r="G206" s="1085"/>
      <c r="H206" s="1085"/>
      <c r="I206" s="1085"/>
      <c r="J206" s="1085"/>
      <c r="K206" s="1085"/>
      <c r="L206" s="1085"/>
      <c r="M206" s="1085"/>
      <c r="N206" s="1085"/>
    </row>
    <row r="207" spans="1:14" x14ac:dyDescent="0.25">
      <c r="A207" s="1085"/>
      <c r="B207" s="1085"/>
      <c r="C207" s="1085"/>
      <c r="D207" s="1085"/>
      <c r="E207" s="1085"/>
      <c r="F207" s="1085"/>
      <c r="G207" s="1085"/>
      <c r="H207" s="1085"/>
      <c r="I207" s="1085"/>
      <c r="J207" s="1085"/>
      <c r="K207" s="1085"/>
      <c r="L207" s="1085"/>
      <c r="M207" s="1085"/>
      <c r="N207" s="1085"/>
    </row>
    <row r="208" spans="1:14" x14ac:dyDescent="0.25">
      <c r="A208" s="1085"/>
      <c r="B208" s="1085"/>
      <c r="C208" s="1085"/>
      <c r="D208" s="1085"/>
      <c r="E208" s="1085"/>
      <c r="F208" s="1085"/>
      <c r="G208" s="1085"/>
      <c r="H208" s="1085"/>
      <c r="I208" s="1085"/>
      <c r="J208" s="1086"/>
      <c r="K208" s="1086"/>
      <c r="L208" s="1086"/>
      <c r="M208" s="1086"/>
      <c r="N208" s="1086"/>
    </row>
    <row r="209" spans="1:9" x14ac:dyDescent="0.25">
      <c r="A209" s="1085"/>
      <c r="B209" s="1085"/>
      <c r="C209" s="1085"/>
      <c r="D209" s="1085"/>
      <c r="E209" s="1085"/>
      <c r="F209" s="1085"/>
      <c r="G209" s="1085"/>
      <c r="H209" s="1085"/>
      <c r="I209" s="1085"/>
    </row>
    <row r="210" spans="1:9" x14ac:dyDescent="0.25">
      <c r="A210" s="1085"/>
      <c r="B210" s="1085"/>
      <c r="C210" s="1085"/>
      <c r="D210" s="1085"/>
      <c r="E210" s="1085"/>
      <c r="F210" s="1085"/>
      <c r="G210" s="1085"/>
      <c r="H210" s="1085"/>
      <c r="I210" s="1085"/>
    </row>
    <row r="211" spans="1:9" x14ac:dyDescent="0.25">
      <c r="A211" s="1085"/>
      <c r="B211" s="1085"/>
      <c r="C211" s="1085"/>
      <c r="D211" s="1085"/>
      <c r="E211" s="1085"/>
      <c r="F211" s="1085"/>
      <c r="G211" s="1085"/>
      <c r="H211" s="1085"/>
      <c r="I211" s="1085"/>
    </row>
    <row r="212" spans="1:9" x14ac:dyDescent="0.25">
      <c r="A212" s="1085"/>
      <c r="B212" s="1085"/>
      <c r="C212" s="1085"/>
      <c r="D212" s="1085"/>
      <c r="E212" s="1085"/>
      <c r="F212" s="1085"/>
      <c r="G212" s="1085"/>
      <c r="H212" s="1085"/>
      <c r="I212" s="1085"/>
    </row>
    <row r="213" spans="1:9" x14ac:dyDescent="0.25">
      <c r="A213" s="1085"/>
      <c r="B213" s="1085"/>
      <c r="C213" s="1085"/>
      <c r="D213" s="1085"/>
      <c r="E213" s="1085"/>
      <c r="F213" s="1085"/>
      <c r="G213" s="1085"/>
      <c r="H213" s="1085"/>
      <c r="I213" s="1085"/>
    </row>
    <row r="214" spans="1:9" x14ac:dyDescent="0.25">
      <c r="A214" s="1085"/>
      <c r="B214" s="1085"/>
      <c r="C214" s="1085"/>
      <c r="D214" s="1085"/>
      <c r="E214" s="1085"/>
      <c r="F214" s="1085"/>
      <c r="G214" s="1085"/>
      <c r="H214" s="1085"/>
      <c r="I214" s="1085"/>
    </row>
    <row r="215" spans="1:9" x14ac:dyDescent="0.25">
      <c r="A215" s="1085"/>
      <c r="B215" s="1085"/>
      <c r="C215" s="1085"/>
      <c r="D215" s="1085"/>
      <c r="E215" s="1085"/>
      <c r="F215" s="1085"/>
      <c r="G215" s="1085"/>
      <c r="H215" s="1085"/>
      <c r="I215" s="1085"/>
    </row>
    <row r="216" spans="1:9" x14ac:dyDescent="0.25">
      <c r="A216" s="1085"/>
      <c r="B216" s="1085"/>
      <c r="C216" s="1085"/>
      <c r="D216" s="1085"/>
      <c r="E216" s="1085"/>
      <c r="F216" s="1085"/>
      <c r="G216" s="1085"/>
      <c r="H216" s="1085"/>
      <c r="I216" s="1085"/>
    </row>
    <row r="217" spans="1:9" x14ac:dyDescent="0.25">
      <c r="A217" s="1085"/>
      <c r="B217" s="1085"/>
      <c r="C217" s="1085"/>
      <c r="D217" s="1085"/>
      <c r="E217" s="1085"/>
      <c r="F217" s="1085"/>
      <c r="G217" s="1085"/>
      <c r="H217" s="1085"/>
      <c r="I217" s="1085"/>
    </row>
    <row r="218" spans="1:9" x14ac:dyDescent="0.25">
      <c r="A218" s="1085"/>
      <c r="B218" s="1085"/>
      <c r="C218" s="1085"/>
      <c r="D218" s="1085"/>
      <c r="E218" s="1085"/>
      <c r="F218" s="1085"/>
      <c r="G218" s="1085"/>
      <c r="H218" s="1085"/>
      <c r="I218" s="1085"/>
    </row>
    <row r="219" spans="1:9" x14ac:dyDescent="0.25">
      <c r="A219" s="1085"/>
      <c r="B219" s="1085"/>
      <c r="C219" s="1085"/>
      <c r="D219" s="1085"/>
      <c r="E219" s="1085"/>
      <c r="F219" s="1085"/>
      <c r="G219" s="1085"/>
      <c r="H219" s="1085"/>
      <c r="I219" s="1085"/>
    </row>
    <row r="220" spans="1:9" x14ac:dyDescent="0.25">
      <c r="A220" s="1085"/>
      <c r="B220" s="1085"/>
      <c r="C220" s="1085"/>
      <c r="D220" s="1085"/>
      <c r="E220" s="1085"/>
      <c r="F220" s="1085"/>
      <c r="G220" s="1085"/>
      <c r="H220" s="1085"/>
      <c r="I220" s="1085"/>
    </row>
    <row r="221" spans="1:9" x14ac:dyDescent="0.25">
      <c r="A221" s="1085"/>
      <c r="B221" s="1085"/>
      <c r="C221" s="1085"/>
      <c r="D221" s="1085"/>
      <c r="E221" s="1085"/>
      <c r="F221" s="1085"/>
      <c r="G221" s="1085"/>
      <c r="H221" s="1085"/>
      <c r="I221" s="1085"/>
    </row>
    <row r="222" spans="1:9" x14ac:dyDescent="0.25">
      <c r="A222" s="1085"/>
      <c r="B222" s="1085"/>
      <c r="C222" s="1085"/>
      <c r="D222" s="1085"/>
      <c r="E222" s="1085"/>
      <c r="F222" s="1085"/>
      <c r="G222" s="1085"/>
      <c r="H222" s="1085"/>
      <c r="I222" s="1085"/>
    </row>
    <row r="223" spans="1:9" x14ac:dyDescent="0.25">
      <c r="A223" s="1085"/>
      <c r="B223" s="1085"/>
      <c r="C223" s="1085"/>
      <c r="D223" s="1085"/>
      <c r="E223" s="1085"/>
      <c r="F223" s="1085"/>
      <c r="G223" s="1085"/>
      <c r="H223" s="1085"/>
      <c r="I223" s="1085"/>
    </row>
    <row r="224" spans="1:9" x14ac:dyDescent="0.25">
      <c r="A224" s="1085"/>
      <c r="B224" s="1085"/>
      <c r="C224" s="1085"/>
      <c r="D224" s="1085"/>
      <c r="E224" s="1085"/>
      <c r="F224" s="1085"/>
      <c r="G224" s="1085"/>
      <c r="H224" s="1085"/>
      <c r="I224" s="1085"/>
    </row>
    <row r="225" spans="1:9" x14ac:dyDescent="0.25">
      <c r="A225" s="1085"/>
      <c r="B225" s="1085"/>
      <c r="C225" s="1085"/>
      <c r="D225" s="1085"/>
      <c r="E225" s="1085"/>
      <c r="F225" s="1085"/>
      <c r="G225" s="1085"/>
      <c r="H225" s="1085"/>
      <c r="I225" s="1085"/>
    </row>
    <row r="226" spans="1:9" x14ac:dyDescent="0.25">
      <c r="A226" s="1085"/>
      <c r="B226" s="1085"/>
      <c r="C226" s="1085"/>
      <c r="D226" s="1085"/>
      <c r="E226" s="1085"/>
      <c r="F226" s="1085"/>
      <c r="G226" s="1085"/>
      <c r="H226" s="1085"/>
      <c r="I226" s="1085"/>
    </row>
    <row r="227" spans="1:9" x14ac:dyDescent="0.25">
      <c r="A227" s="1085"/>
      <c r="B227" s="1085"/>
      <c r="C227" s="1085"/>
      <c r="D227" s="1085"/>
      <c r="E227" s="1085"/>
      <c r="F227" s="1085"/>
      <c r="G227" s="1085"/>
      <c r="H227" s="1085"/>
      <c r="I227" s="1085"/>
    </row>
    <row r="228" spans="1:9" x14ac:dyDescent="0.25">
      <c r="A228" s="1085"/>
      <c r="B228" s="1085"/>
      <c r="C228" s="1085"/>
      <c r="D228" s="1085"/>
      <c r="E228" s="1085"/>
      <c r="F228" s="1085"/>
      <c r="G228" s="1085"/>
      <c r="H228" s="1085"/>
      <c r="I228" s="1085"/>
    </row>
    <row r="229" spans="1:9" x14ac:dyDescent="0.25">
      <c r="A229" s="1085"/>
      <c r="B229" s="1085"/>
      <c r="C229" s="1085"/>
      <c r="D229" s="1085"/>
      <c r="E229" s="1085"/>
      <c r="F229" s="1085"/>
      <c r="G229" s="1085"/>
      <c r="H229" s="1085"/>
      <c r="I229" s="1085"/>
    </row>
    <row r="230" spans="1:9" x14ac:dyDescent="0.25">
      <c r="A230" s="1085"/>
      <c r="B230" s="1085"/>
      <c r="C230" s="1085"/>
      <c r="D230" s="1085"/>
      <c r="E230" s="1085"/>
      <c r="F230" s="1085"/>
      <c r="G230" s="1085"/>
      <c r="H230" s="1085"/>
      <c r="I230" s="1085"/>
    </row>
    <row r="231" spans="1:9" x14ac:dyDescent="0.25">
      <c r="A231" s="1085"/>
      <c r="B231" s="1085"/>
      <c r="C231" s="1085"/>
      <c r="D231" s="1085"/>
      <c r="E231" s="1085"/>
      <c r="F231" s="1085"/>
      <c r="G231" s="1085"/>
      <c r="H231" s="1085"/>
      <c r="I231" s="1085"/>
    </row>
    <row r="232" spans="1:9" x14ac:dyDescent="0.25">
      <c r="A232" s="1085"/>
      <c r="B232" s="1085"/>
      <c r="C232" s="1085"/>
      <c r="D232" s="1085"/>
      <c r="E232" s="1085"/>
      <c r="F232" s="1085"/>
      <c r="G232" s="1085"/>
      <c r="H232" s="1085"/>
      <c r="I232" s="1085"/>
    </row>
    <row r="233" spans="1:9" x14ac:dyDescent="0.25">
      <c r="A233" s="1085"/>
      <c r="B233" s="1085"/>
      <c r="C233" s="1085"/>
      <c r="D233" s="1085"/>
      <c r="E233" s="1085"/>
      <c r="F233" s="1085"/>
      <c r="G233" s="1085"/>
      <c r="H233" s="1085"/>
      <c r="I233" s="1085"/>
    </row>
    <row r="234" spans="1:9" x14ac:dyDescent="0.25">
      <c r="A234" s="1085"/>
      <c r="B234" s="1085"/>
      <c r="C234" s="1085"/>
      <c r="D234" s="1085"/>
      <c r="E234" s="1085"/>
      <c r="F234" s="1085"/>
      <c r="G234" s="1085"/>
      <c r="H234" s="1085"/>
      <c r="I234" s="1085"/>
    </row>
    <row r="235" spans="1:9" x14ac:dyDescent="0.25">
      <c r="A235" s="1085"/>
      <c r="B235" s="1085"/>
      <c r="C235" s="1085"/>
      <c r="D235" s="1085"/>
      <c r="E235" s="1085"/>
      <c r="F235" s="1085"/>
      <c r="G235" s="1085"/>
      <c r="H235" s="1085"/>
      <c r="I235" s="1085"/>
    </row>
    <row r="236" spans="1:9" x14ac:dyDescent="0.25">
      <c r="A236" s="1085"/>
      <c r="B236" s="1085"/>
      <c r="C236" s="1085"/>
      <c r="D236" s="1085"/>
      <c r="E236" s="1085"/>
      <c r="F236" s="1085"/>
      <c r="G236" s="1085"/>
      <c r="H236" s="1085"/>
      <c r="I236" s="1085"/>
    </row>
    <row r="237" spans="1:9" x14ac:dyDescent="0.25">
      <c r="A237" s="1085"/>
      <c r="B237" s="1085"/>
      <c r="C237" s="1085"/>
      <c r="D237" s="1085"/>
      <c r="E237" s="1085"/>
      <c r="F237" s="1085"/>
      <c r="G237" s="1085"/>
      <c r="H237" s="1085"/>
      <c r="I237" s="1085"/>
    </row>
    <row r="238" spans="1:9" x14ac:dyDescent="0.25">
      <c r="A238" s="1085"/>
      <c r="B238" s="1085"/>
      <c r="C238" s="1085"/>
      <c r="D238" s="1085"/>
      <c r="E238" s="1085"/>
      <c r="F238" s="1085"/>
      <c r="G238" s="1085"/>
      <c r="H238" s="1085"/>
      <c r="I238" s="1085"/>
    </row>
    <row r="239" spans="1:9" x14ac:dyDescent="0.25">
      <c r="A239" s="1085"/>
      <c r="B239" s="1085"/>
      <c r="C239" s="1085"/>
      <c r="D239" s="1085"/>
      <c r="E239" s="1085"/>
      <c r="F239" s="1085"/>
      <c r="G239" s="1085"/>
      <c r="H239" s="1085"/>
      <c r="I239" s="1085"/>
    </row>
    <row r="240" spans="1:9" x14ac:dyDescent="0.25">
      <c r="A240" s="1085"/>
      <c r="B240" s="1085"/>
      <c r="C240" s="1085"/>
      <c r="D240" s="1085"/>
      <c r="E240" s="1085"/>
      <c r="F240" s="1085"/>
      <c r="G240" s="1085"/>
      <c r="H240" s="1085"/>
      <c r="I240" s="1085"/>
    </row>
    <row r="241" spans="1:9" x14ac:dyDescent="0.25">
      <c r="A241" s="1085"/>
      <c r="B241" s="1085"/>
      <c r="C241" s="1085"/>
      <c r="D241" s="1085"/>
      <c r="E241" s="1085"/>
      <c r="F241" s="1085"/>
      <c r="G241" s="1085"/>
      <c r="H241" s="1085"/>
      <c r="I241" s="1085"/>
    </row>
    <row r="242" spans="1:9" x14ac:dyDescent="0.25">
      <c r="A242" s="1085"/>
      <c r="B242" s="1085"/>
      <c r="C242" s="1085"/>
      <c r="D242" s="1085"/>
      <c r="E242" s="1085"/>
      <c r="F242" s="1085"/>
      <c r="G242" s="1085"/>
      <c r="H242" s="1085"/>
      <c r="I242" s="1085"/>
    </row>
    <row r="243" spans="1:9" x14ac:dyDescent="0.25">
      <c r="A243" s="1085"/>
      <c r="B243" s="1085"/>
      <c r="C243" s="1085"/>
      <c r="D243" s="1085"/>
      <c r="E243" s="1085"/>
      <c r="F243" s="1085"/>
      <c r="G243" s="1085"/>
      <c r="H243" s="1085"/>
      <c r="I243" s="1085"/>
    </row>
    <row r="244" spans="1:9" x14ac:dyDescent="0.25">
      <c r="A244" s="1085"/>
      <c r="B244" s="1085"/>
      <c r="C244" s="1085"/>
      <c r="D244" s="1085"/>
      <c r="E244" s="1085"/>
      <c r="F244" s="1085"/>
      <c r="G244" s="1085"/>
      <c r="H244" s="1085"/>
      <c r="I244" s="1085"/>
    </row>
    <row r="245" spans="1:9" x14ac:dyDescent="0.25">
      <c r="A245" s="1085"/>
      <c r="B245" s="1085"/>
      <c r="C245" s="1085"/>
      <c r="D245" s="1085"/>
      <c r="E245" s="1085"/>
      <c r="F245" s="1085"/>
      <c r="G245" s="1085"/>
      <c r="H245" s="1085"/>
      <c r="I245" s="1085"/>
    </row>
    <row r="246" spans="1:9" x14ac:dyDescent="0.25">
      <c r="A246" s="1085"/>
      <c r="B246" s="1085"/>
      <c r="C246" s="1085"/>
      <c r="D246" s="1085"/>
      <c r="E246" s="1085"/>
      <c r="F246" s="1085"/>
      <c r="G246" s="1085"/>
      <c r="H246" s="1085"/>
      <c r="I246" s="1085"/>
    </row>
    <row r="247" spans="1:9" x14ac:dyDescent="0.25">
      <c r="A247" s="1085"/>
      <c r="B247" s="1085"/>
      <c r="C247" s="1085"/>
      <c r="D247" s="1085"/>
      <c r="E247" s="1085"/>
      <c r="F247" s="1085"/>
      <c r="G247" s="1085"/>
      <c r="H247" s="1085"/>
      <c r="I247" s="1085"/>
    </row>
    <row r="248" spans="1:9" x14ac:dyDescent="0.25">
      <c r="A248" s="1085"/>
      <c r="B248" s="1085"/>
      <c r="C248" s="1085"/>
      <c r="D248" s="1085"/>
      <c r="E248" s="1085"/>
      <c r="F248" s="1085"/>
      <c r="G248" s="1085"/>
      <c r="H248" s="1085"/>
      <c r="I248" s="1085"/>
    </row>
    <row r="249" spans="1:9" x14ac:dyDescent="0.25">
      <c r="A249" s="1085"/>
      <c r="B249" s="1085"/>
      <c r="C249" s="1085"/>
      <c r="D249" s="1085"/>
      <c r="E249" s="1085"/>
      <c r="F249" s="1085"/>
      <c r="G249" s="1085"/>
      <c r="H249" s="1085"/>
      <c r="I249" s="1085"/>
    </row>
    <row r="250" spans="1:9" x14ac:dyDescent="0.25">
      <c r="A250" s="1085"/>
      <c r="B250" s="1085"/>
      <c r="C250" s="1085"/>
      <c r="D250" s="1085"/>
      <c r="E250" s="1085"/>
      <c r="F250" s="1085"/>
      <c r="G250" s="1085"/>
      <c r="H250" s="1085"/>
      <c r="I250" s="1085"/>
    </row>
    <row r="251" spans="1:9" x14ac:dyDescent="0.25">
      <c r="A251" s="1085"/>
      <c r="B251" s="1085"/>
      <c r="C251" s="1085"/>
      <c r="D251" s="1085"/>
      <c r="E251" s="1085"/>
      <c r="F251" s="1085"/>
      <c r="G251" s="1085"/>
      <c r="H251" s="1085"/>
      <c r="I251" s="1085"/>
    </row>
    <row r="252" spans="1:9" x14ac:dyDescent="0.25">
      <c r="A252" s="1085"/>
      <c r="B252" s="1085"/>
      <c r="C252" s="1085"/>
      <c r="D252" s="1085"/>
      <c r="E252" s="1085"/>
      <c r="F252" s="1085"/>
      <c r="G252" s="1085"/>
      <c r="H252" s="1085"/>
      <c r="I252" s="1085"/>
    </row>
    <row r="253" spans="1:9" x14ac:dyDescent="0.25">
      <c r="A253" s="1085"/>
      <c r="B253" s="1085"/>
      <c r="C253" s="1085"/>
      <c r="D253" s="1085"/>
      <c r="E253" s="1085"/>
      <c r="F253" s="1085"/>
      <c r="G253" s="1085"/>
      <c r="H253" s="1085"/>
      <c r="I253" s="1085"/>
    </row>
    <row r="254" spans="1:9" x14ac:dyDescent="0.25">
      <c r="A254" s="1085"/>
      <c r="B254" s="1085"/>
      <c r="C254" s="1085"/>
      <c r="D254" s="1085"/>
      <c r="E254" s="1085"/>
      <c r="F254" s="1085"/>
      <c r="G254" s="1085"/>
      <c r="H254" s="1085"/>
      <c r="I254" s="1085"/>
    </row>
    <row r="255" spans="1:9" x14ac:dyDescent="0.25">
      <c r="A255" s="1085"/>
      <c r="B255" s="1085"/>
      <c r="C255" s="1085"/>
      <c r="D255" s="1085"/>
      <c r="E255" s="1085"/>
      <c r="F255" s="1085"/>
      <c r="G255" s="1085"/>
      <c r="H255" s="1085"/>
      <c r="I255" s="1085"/>
    </row>
    <row r="256" spans="1:9" x14ac:dyDescent="0.25">
      <c r="A256" s="1085"/>
      <c r="B256" s="1085"/>
      <c r="C256" s="1085"/>
      <c r="D256" s="1085"/>
      <c r="E256" s="1085"/>
      <c r="F256" s="1085"/>
      <c r="G256" s="1085"/>
      <c r="H256" s="1085"/>
      <c r="I256" s="1085"/>
    </row>
    <row r="257" spans="1:9" x14ac:dyDescent="0.25">
      <c r="A257" s="1085"/>
      <c r="B257" s="1085"/>
      <c r="C257" s="1085"/>
      <c r="D257" s="1085"/>
      <c r="E257" s="1085"/>
      <c r="F257" s="1085"/>
      <c r="G257" s="1085"/>
      <c r="H257" s="1085"/>
      <c r="I257" s="1085"/>
    </row>
    <row r="258" spans="1:9" x14ac:dyDescent="0.25">
      <c r="A258" s="1085"/>
      <c r="B258" s="1085"/>
      <c r="C258" s="1085"/>
      <c r="D258" s="1085"/>
      <c r="E258" s="1085"/>
      <c r="F258" s="1085"/>
      <c r="G258" s="1085"/>
      <c r="H258" s="1085"/>
      <c r="I258" s="1085"/>
    </row>
    <row r="259" spans="1:9" x14ac:dyDescent="0.25">
      <c r="A259" s="1085"/>
      <c r="B259" s="1085"/>
      <c r="C259" s="1085"/>
      <c r="D259" s="1085"/>
      <c r="E259" s="1085"/>
      <c r="F259" s="1085"/>
      <c r="G259" s="1085"/>
      <c r="H259" s="1085"/>
      <c r="I259" s="1085"/>
    </row>
    <row r="260" spans="1:9" x14ac:dyDescent="0.25">
      <c r="A260" s="1085"/>
      <c r="B260" s="1085"/>
      <c r="C260" s="1085"/>
      <c r="D260" s="1085"/>
      <c r="E260" s="1085"/>
      <c r="F260" s="1085"/>
      <c r="G260" s="1085"/>
      <c r="H260" s="1085"/>
      <c r="I260" s="1085"/>
    </row>
    <row r="261" spans="1:9" x14ac:dyDescent="0.25">
      <c r="A261" s="1085"/>
      <c r="B261" s="1085"/>
      <c r="C261" s="1085"/>
      <c r="D261" s="1085"/>
      <c r="E261" s="1085"/>
      <c r="F261" s="1085"/>
      <c r="G261" s="1085"/>
      <c r="H261" s="1085"/>
      <c r="I261" s="1085"/>
    </row>
    <row r="262" spans="1:9" x14ac:dyDescent="0.25">
      <c r="A262" s="1085"/>
      <c r="B262" s="1085"/>
      <c r="C262" s="1085"/>
      <c r="D262" s="1085"/>
      <c r="E262" s="1085"/>
      <c r="F262" s="1085"/>
      <c r="G262" s="1085"/>
      <c r="H262" s="1085"/>
      <c r="I262" s="1085"/>
    </row>
    <row r="263" spans="1:9" x14ac:dyDescent="0.25">
      <c r="A263" s="1085"/>
      <c r="B263" s="1085"/>
      <c r="C263" s="1085"/>
      <c r="D263" s="1085"/>
      <c r="E263" s="1085"/>
      <c r="F263" s="1085"/>
      <c r="G263" s="1085"/>
      <c r="H263" s="1085"/>
      <c r="I263" s="1085"/>
    </row>
    <row r="264" spans="1:9" x14ac:dyDescent="0.25">
      <c r="A264" s="1085"/>
      <c r="B264" s="1085"/>
      <c r="C264" s="1085"/>
      <c r="D264" s="1085"/>
      <c r="E264" s="1085"/>
      <c r="F264" s="1085"/>
      <c r="G264" s="1085"/>
      <c r="H264" s="1085"/>
      <c r="I264" s="1085"/>
    </row>
    <row r="265" spans="1:9" x14ac:dyDescent="0.25">
      <c r="A265" s="1085"/>
      <c r="B265" s="1085"/>
      <c r="C265" s="1085"/>
      <c r="D265" s="1085"/>
      <c r="E265" s="1085"/>
      <c r="F265" s="1085"/>
      <c r="G265" s="1085"/>
      <c r="H265" s="1085"/>
      <c r="I265" s="1085"/>
    </row>
    <row r="266" spans="1:9" x14ac:dyDescent="0.25">
      <c r="A266" s="1085"/>
      <c r="B266" s="1085"/>
      <c r="C266" s="1085"/>
      <c r="D266" s="1085"/>
      <c r="E266" s="1085"/>
      <c r="F266" s="1085"/>
      <c r="G266" s="1085"/>
      <c r="H266" s="1085"/>
      <c r="I266" s="1085"/>
    </row>
    <row r="267" spans="1:9" x14ac:dyDescent="0.25">
      <c r="A267" s="1085"/>
      <c r="B267" s="1085"/>
      <c r="C267" s="1085"/>
      <c r="D267" s="1085"/>
      <c r="E267" s="1085"/>
      <c r="F267" s="1085"/>
      <c r="G267" s="1085"/>
      <c r="H267" s="1085"/>
      <c r="I267" s="1085"/>
    </row>
    <row r="268" spans="1:9" x14ac:dyDescent="0.25">
      <c r="A268" s="1085"/>
      <c r="B268" s="1085"/>
      <c r="C268" s="1085"/>
      <c r="D268" s="1085"/>
      <c r="E268" s="1085"/>
      <c r="F268" s="1085"/>
      <c r="G268" s="1085"/>
      <c r="H268" s="1085"/>
      <c r="I268" s="1085"/>
    </row>
    <row r="269" spans="1:9" x14ac:dyDescent="0.25">
      <c r="A269" s="1085"/>
      <c r="B269" s="1085"/>
      <c r="C269" s="1085"/>
      <c r="D269" s="1085"/>
      <c r="E269" s="1085"/>
      <c r="F269" s="1085"/>
      <c r="G269" s="1085"/>
      <c r="H269" s="1085"/>
      <c r="I269" s="1085"/>
    </row>
    <row r="270" spans="1:9" x14ac:dyDescent="0.25">
      <c r="A270" s="1085"/>
      <c r="B270" s="1085"/>
      <c r="C270" s="1085"/>
      <c r="D270" s="1085"/>
      <c r="E270" s="1085"/>
      <c r="F270" s="1085"/>
      <c r="G270" s="1085"/>
      <c r="H270" s="1085"/>
      <c r="I270" s="1085"/>
    </row>
    <row r="271" spans="1:9" x14ac:dyDescent="0.25">
      <c r="A271" s="1085"/>
      <c r="B271" s="1085"/>
      <c r="C271" s="1085"/>
      <c r="D271" s="1085"/>
      <c r="E271" s="1085"/>
      <c r="F271" s="1085"/>
      <c r="G271" s="1085"/>
      <c r="H271" s="1085"/>
      <c r="I271" s="1085"/>
    </row>
    <row r="272" spans="1:9" x14ac:dyDescent="0.25">
      <c r="A272" s="1085"/>
      <c r="B272" s="1085"/>
      <c r="C272" s="1085"/>
      <c r="D272" s="1085"/>
      <c r="E272" s="1085"/>
      <c r="F272" s="1085"/>
      <c r="G272" s="1085"/>
      <c r="H272" s="1085"/>
      <c r="I272" s="1085"/>
    </row>
    <row r="273" spans="1:9" x14ac:dyDescent="0.25">
      <c r="A273" s="1085"/>
      <c r="B273" s="1085"/>
      <c r="C273" s="1085"/>
      <c r="D273" s="1085"/>
      <c r="E273" s="1085"/>
      <c r="F273" s="1085"/>
      <c r="G273" s="1085"/>
      <c r="H273" s="1085"/>
      <c r="I273" s="1085"/>
    </row>
    <row r="274" spans="1:9" x14ac:dyDescent="0.25">
      <c r="A274" s="1085"/>
      <c r="B274" s="1085"/>
      <c r="C274" s="1085"/>
      <c r="D274" s="1085"/>
      <c r="E274" s="1085"/>
      <c r="F274" s="1085"/>
      <c r="G274" s="1085"/>
      <c r="H274" s="1085"/>
      <c r="I274" s="1085"/>
    </row>
    <row r="275" spans="1:9" x14ac:dyDescent="0.25">
      <c r="A275" s="1085"/>
      <c r="B275" s="1085"/>
      <c r="C275" s="1085"/>
      <c r="D275" s="1085"/>
      <c r="E275" s="1085"/>
      <c r="F275" s="1085"/>
      <c r="G275" s="1085"/>
      <c r="H275" s="1085"/>
      <c r="I275" s="1085"/>
    </row>
    <row r="276" spans="1:9" x14ac:dyDescent="0.25">
      <c r="A276" s="1085"/>
      <c r="B276" s="1085"/>
      <c r="C276" s="1085"/>
      <c r="D276" s="1085"/>
      <c r="E276" s="1085"/>
      <c r="F276" s="1085"/>
      <c r="G276" s="1085"/>
      <c r="H276" s="1085"/>
      <c r="I276" s="1085"/>
    </row>
    <row r="277" spans="1:9" x14ac:dyDescent="0.25">
      <c r="A277" s="1085"/>
      <c r="B277" s="1085"/>
      <c r="C277" s="1085"/>
      <c r="D277" s="1085"/>
      <c r="E277" s="1085"/>
      <c r="F277" s="1085"/>
      <c r="G277" s="1085"/>
      <c r="H277" s="1085"/>
      <c r="I277" s="1085"/>
    </row>
    <row r="278" spans="1:9" x14ac:dyDescent="0.25">
      <c r="A278" s="1085"/>
      <c r="B278" s="1085"/>
      <c r="C278" s="1085"/>
      <c r="D278" s="1085"/>
      <c r="E278" s="1085"/>
      <c r="F278" s="1085"/>
      <c r="G278" s="1085"/>
      <c r="H278" s="1085"/>
      <c r="I278" s="1085"/>
    </row>
    <row r="279" spans="1:9" x14ac:dyDescent="0.25">
      <c r="A279" s="1085"/>
      <c r="B279" s="1085"/>
      <c r="C279" s="1085"/>
      <c r="D279" s="1085"/>
      <c r="E279" s="1085"/>
      <c r="F279" s="1085"/>
      <c r="G279" s="1085"/>
      <c r="H279" s="1085"/>
      <c r="I279" s="1085"/>
    </row>
  </sheetData>
  <hyperlinks>
    <hyperlink ref="B4" location="SU_A1200" display="SU_A1200" xr:uid="{00000000-0004-0000-8300-000000000000}"/>
    <hyperlink ref="F2" location="SU_A1200_BOM" display="Back to BOM" xr:uid="{00000000-0004-0000-83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4" fitToHeight="99" orientation="landscape" r:id="rId1"/>
  <headerFooter>
    <oddFooter>Page &amp;P</oddFooter>
  </headerFooter>
  <drawing r:id="rId2"/>
</worksheet>
</file>

<file path=xl/worksheets/sheet1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400-000000000000}">
  <sheetPr>
    <tabColor rgb="FFFFFF00"/>
    <pageSetUpPr fitToPage="1"/>
  </sheetPr>
  <dimension ref="A1:O21"/>
  <sheetViews>
    <sheetView zoomScale="70" zoomScaleNormal="70" zoomScalePageLayoutView="70" workbookViewId="0">
      <selection activeCell="F2" sqref="F2"/>
    </sheetView>
  </sheetViews>
  <sheetFormatPr baseColWidth="10" defaultRowHeight="15" x14ac:dyDescent="0.25"/>
  <cols>
    <col min="2" max="2" width="38.42578125" customWidth="1"/>
    <col min="3" max="3" width="30.7109375" customWidth="1"/>
    <col min="7" max="7" width="35" customWidth="1"/>
    <col min="9" max="9" width="24.42578125" customWidth="1"/>
    <col min="10" max="10" width="13.42578125" customWidth="1"/>
  </cols>
  <sheetData>
    <row r="1" spans="1:15" x14ac:dyDescent="0.25">
      <c r="A1" s="927"/>
      <c r="B1" s="925"/>
      <c r="C1" s="925"/>
      <c r="D1" s="925"/>
      <c r="E1" s="925"/>
      <c r="F1" s="925"/>
      <c r="G1" s="925"/>
      <c r="H1" s="925"/>
      <c r="I1" s="925"/>
      <c r="J1" s="926"/>
      <c r="K1" s="925"/>
      <c r="L1" s="925"/>
      <c r="M1" s="925"/>
      <c r="N1" s="925"/>
      <c r="O1" s="924"/>
    </row>
    <row r="2" spans="1:15" x14ac:dyDescent="0.25">
      <c r="A2" s="1054" t="s">
        <v>0</v>
      </c>
      <c r="B2" s="16" t="s">
        <v>37</v>
      </c>
      <c r="C2" s="1055"/>
      <c r="D2" s="1055"/>
      <c r="E2" s="1055"/>
      <c r="F2" s="87" t="s">
        <v>62</v>
      </c>
      <c r="G2" s="1055"/>
      <c r="H2" s="1055"/>
      <c r="I2" s="1055"/>
      <c r="J2" s="1056" t="s">
        <v>1</v>
      </c>
      <c r="K2" s="1057">
        <v>81</v>
      </c>
      <c r="L2" s="1055"/>
      <c r="M2" s="1058" t="s">
        <v>16</v>
      </c>
      <c r="N2" s="1059">
        <f>SU_12002_m+SU_12002_p</f>
        <v>1.5833945082514056</v>
      </c>
      <c r="O2" s="264"/>
    </row>
    <row r="3" spans="1:15" x14ac:dyDescent="0.25">
      <c r="A3" s="1060" t="s">
        <v>3</v>
      </c>
      <c r="B3" s="16" t="s">
        <v>63</v>
      </c>
      <c r="C3" s="1055"/>
      <c r="D3" s="1058" t="s">
        <v>6</v>
      </c>
      <c r="E3" s="87"/>
      <c r="F3" s="1055"/>
      <c r="G3" s="1055"/>
      <c r="H3" s="1055"/>
      <c r="I3" s="1055"/>
      <c r="J3" s="1055"/>
      <c r="K3" s="1055"/>
      <c r="L3" s="1055"/>
      <c r="M3" s="1061" t="s">
        <v>4</v>
      </c>
      <c r="N3" s="1062">
        <v>2</v>
      </c>
      <c r="O3" s="264"/>
    </row>
    <row r="4" spans="1:15" x14ac:dyDescent="0.25">
      <c r="A4" s="1060" t="s">
        <v>5</v>
      </c>
      <c r="B4" s="87" t="str">
        <f>'SU A1200'!B4</f>
        <v>Front Pullrod</v>
      </c>
      <c r="C4" s="1055"/>
      <c r="D4" s="1061" t="s">
        <v>8</v>
      </c>
      <c r="E4" s="1055"/>
      <c r="F4" s="1055"/>
      <c r="G4" s="1055"/>
      <c r="H4" s="1055"/>
      <c r="I4" s="1055"/>
      <c r="J4" s="1058" t="s">
        <v>6</v>
      </c>
      <c r="K4" s="1055"/>
      <c r="L4" s="1055"/>
      <c r="M4" s="1055"/>
      <c r="N4" s="1055"/>
      <c r="O4" s="264"/>
    </row>
    <row r="5" spans="1:15" x14ac:dyDescent="0.25">
      <c r="A5" s="1060" t="s">
        <v>15</v>
      </c>
      <c r="B5" s="736" t="s">
        <v>401</v>
      </c>
      <c r="C5" s="1055"/>
      <c r="D5" s="1061" t="s">
        <v>12</v>
      </c>
      <c r="E5" s="1055"/>
      <c r="F5" s="1055"/>
      <c r="G5" s="1055"/>
      <c r="H5" s="1055"/>
      <c r="I5" s="1055"/>
      <c r="J5" s="1061" t="s">
        <v>8</v>
      </c>
      <c r="K5" s="1055"/>
      <c r="L5" s="1055"/>
      <c r="M5" s="1058" t="s">
        <v>9</v>
      </c>
      <c r="N5" s="1059">
        <f>N2*SU_12002_q</f>
        <v>3.1667890165028112</v>
      </c>
      <c r="O5" s="264"/>
    </row>
    <row r="6" spans="1:15" x14ac:dyDescent="0.25">
      <c r="A6" s="1060" t="s">
        <v>7</v>
      </c>
      <c r="B6" t="s">
        <v>522</v>
      </c>
      <c r="C6" s="1055"/>
      <c r="D6" s="1055"/>
      <c r="E6" s="1055"/>
      <c r="F6" s="1055"/>
      <c r="G6" s="1055"/>
      <c r="H6" s="1055"/>
      <c r="I6" s="1055"/>
      <c r="J6" s="1061" t="s">
        <v>12</v>
      </c>
      <c r="K6" s="1055"/>
      <c r="L6" s="1055"/>
      <c r="M6" s="1055"/>
      <c r="N6" s="1055"/>
      <c r="O6" s="264"/>
    </row>
    <row r="7" spans="1:15" x14ac:dyDescent="0.25">
      <c r="A7" s="1060" t="s">
        <v>10</v>
      </c>
      <c r="B7" s="16" t="s">
        <v>11</v>
      </c>
      <c r="C7" s="1055"/>
      <c r="D7" s="1055"/>
      <c r="E7" s="1055"/>
      <c r="F7" s="1055"/>
      <c r="G7" s="1055"/>
      <c r="H7" s="1055"/>
      <c r="I7" s="1055"/>
      <c r="J7" s="1055"/>
      <c r="K7" s="1055"/>
      <c r="L7" s="1055"/>
      <c r="M7" s="1055"/>
      <c r="N7" s="1055"/>
      <c r="O7" s="264"/>
    </row>
    <row r="8" spans="1:15" x14ac:dyDescent="0.25">
      <c r="A8" s="1060" t="s">
        <v>13</v>
      </c>
      <c r="B8" s="16"/>
      <c r="C8" s="1055"/>
      <c r="D8" s="1055"/>
      <c r="E8" s="1055"/>
      <c r="F8" s="1055"/>
      <c r="G8" s="1055"/>
      <c r="H8" s="1055"/>
      <c r="I8" s="1055"/>
      <c r="J8" s="1055"/>
      <c r="K8" s="1055"/>
      <c r="L8" s="1055"/>
      <c r="M8" s="1055"/>
      <c r="N8" s="1055"/>
      <c r="O8" s="264"/>
    </row>
    <row r="9" spans="1:15" x14ac:dyDescent="0.25">
      <c r="A9" s="1063"/>
      <c r="B9" s="1055"/>
      <c r="C9" s="1055"/>
      <c r="D9" s="1055"/>
      <c r="E9" s="1055"/>
      <c r="F9" s="1055"/>
      <c r="G9" s="1055"/>
      <c r="H9" s="1055"/>
      <c r="I9" s="1055"/>
      <c r="J9" s="1055"/>
      <c r="K9" s="1055"/>
      <c r="L9" s="1055"/>
      <c r="M9" s="1055"/>
      <c r="N9" s="1055"/>
      <c r="O9" s="264"/>
    </row>
    <row r="10" spans="1:15" x14ac:dyDescent="0.25">
      <c r="A10" s="1064" t="s">
        <v>14</v>
      </c>
      <c r="B10" s="1065" t="s">
        <v>19</v>
      </c>
      <c r="C10" s="1065" t="s">
        <v>20</v>
      </c>
      <c r="D10" s="1065" t="s">
        <v>21</v>
      </c>
      <c r="E10" s="1065" t="s">
        <v>22</v>
      </c>
      <c r="F10" s="1065" t="s">
        <v>23</v>
      </c>
      <c r="G10" s="1065" t="s">
        <v>24</v>
      </c>
      <c r="H10" s="1065" t="s">
        <v>25</v>
      </c>
      <c r="I10" s="1065" t="s">
        <v>26</v>
      </c>
      <c r="J10" s="1065" t="s">
        <v>27</v>
      </c>
      <c r="K10" s="1065" t="s">
        <v>28</v>
      </c>
      <c r="L10" s="1065" t="s">
        <v>29</v>
      </c>
      <c r="M10" s="1065" t="s">
        <v>17</v>
      </c>
      <c r="N10" s="1065" t="s">
        <v>18</v>
      </c>
      <c r="O10" s="264"/>
    </row>
    <row r="11" spans="1:15" ht="16.149999999999999" customHeight="1" x14ac:dyDescent="0.25">
      <c r="A11" s="389">
        <v>10</v>
      </c>
      <c r="B11" s="390" t="s">
        <v>200</v>
      </c>
      <c r="C11" s="389" t="s">
        <v>201</v>
      </c>
      <c r="D11" s="391">
        <v>4.2</v>
      </c>
      <c r="E11" s="1169">
        <f>J11*K11*L11</f>
        <v>6.9915359107477454E-2</v>
      </c>
      <c r="F11" s="389" t="s">
        <v>141</v>
      </c>
      <c r="G11" s="389"/>
      <c r="H11" s="393"/>
      <c r="I11" s="394" t="s">
        <v>548</v>
      </c>
      <c r="J11" s="1091">
        <f>PI()*9*9/1000000</f>
        <v>2.5446900494077322E-4</v>
      </c>
      <c r="K11" s="1092">
        <v>3.5000000000000003E-2</v>
      </c>
      <c r="L11" s="1090">
        <v>7850</v>
      </c>
      <c r="M11" s="1093">
        <v>1</v>
      </c>
      <c r="N11" s="1094">
        <f>D11*E11*M11</f>
        <v>0.29364450825140531</v>
      </c>
      <c r="O11" s="914"/>
    </row>
    <row r="12" spans="1:15" x14ac:dyDescent="0.25">
      <c r="A12" s="1075"/>
      <c r="B12" s="1076"/>
      <c r="C12" s="1076"/>
      <c r="D12" s="1076"/>
      <c r="E12" s="1076"/>
      <c r="F12" s="1076"/>
      <c r="G12" s="1076"/>
      <c r="H12" s="1076"/>
      <c r="I12" s="1076"/>
      <c r="J12" s="1076"/>
      <c r="K12" s="1076"/>
      <c r="L12" s="1076"/>
      <c r="M12" s="1077" t="s">
        <v>18</v>
      </c>
      <c r="N12" s="1078">
        <f>N11</f>
        <v>0.29364450825140531</v>
      </c>
      <c r="O12" s="264"/>
    </row>
    <row r="13" spans="1:15" x14ac:dyDescent="0.25">
      <c r="A13" s="1064" t="s">
        <v>14</v>
      </c>
      <c r="B13" s="1065" t="s">
        <v>31</v>
      </c>
      <c r="C13" s="1065" t="s">
        <v>20</v>
      </c>
      <c r="D13" s="1065" t="s">
        <v>21</v>
      </c>
      <c r="E13" s="1065" t="s">
        <v>32</v>
      </c>
      <c r="F13" s="1065" t="s">
        <v>17</v>
      </c>
      <c r="G13" s="1065" t="s">
        <v>33</v>
      </c>
      <c r="H13" s="1065" t="s">
        <v>34</v>
      </c>
      <c r="I13" s="1065" t="s">
        <v>18</v>
      </c>
      <c r="J13" s="1076"/>
      <c r="K13" s="1076"/>
      <c r="L13" s="1076"/>
      <c r="M13" s="1076"/>
      <c r="N13" s="1076"/>
      <c r="O13" s="264"/>
    </row>
    <row r="14" spans="1:15" ht="28.15" customHeight="1" x14ac:dyDescent="0.25">
      <c r="A14" s="1095">
        <v>10</v>
      </c>
      <c r="B14" s="1096" t="s">
        <v>39</v>
      </c>
      <c r="C14" s="1097" t="s">
        <v>414</v>
      </c>
      <c r="D14" s="1088">
        <v>1.3</v>
      </c>
      <c r="E14" s="1096" t="s">
        <v>32</v>
      </c>
      <c r="F14" s="1098">
        <v>1</v>
      </c>
      <c r="G14" s="1174" t="s">
        <v>554</v>
      </c>
      <c r="H14" s="1173">
        <f>1/8</f>
        <v>0.125</v>
      </c>
      <c r="I14" s="1099">
        <f>D14*F14*H14</f>
        <v>0.16250000000000001</v>
      </c>
      <c r="J14" s="518"/>
      <c r="K14" s="518"/>
      <c r="L14" s="518"/>
      <c r="M14" s="518"/>
      <c r="N14" s="518"/>
      <c r="O14" s="902"/>
    </row>
    <row r="15" spans="1:15" ht="13.15" customHeight="1" x14ac:dyDescent="0.25">
      <c r="A15" s="1095">
        <v>20</v>
      </c>
      <c r="B15" s="1096" t="s">
        <v>92</v>
      </c>
      <c r="C15" s="1097" t="s">
        <v>413</v>
      </c>
      <c r="D15" s="1088">
        <v>0.04</v>
      </c>
      <c r="E15" s="1096" t="s">
        <v>93</v>
      </c>
      <c r="F15" s="1098">
        <v>5.5</v>
      </c>
      <c r="G15" s="1098" t="s">
        <v>339</v>
      </c>
      <c r="H15" s="1098">
        <v>3</v>
      </c>
      <c r="I15" s="1099">
        <f t="shared" ref="I15:I18" si="0">D15*F15*H15</f>
        <v>0.66</v>
      </c>
      <c r="J15" s="518"/>
      <c r="K15" s="518"/>
      <c r="L15" s="518"/>
      <c r="M15" s="518"/>
      <c r="N15" s="518"/>
      <c r="O15" s="902"/>
    </row>
    <row r="16" spans="1:15" ht="30" customHeight="1" x14ac:dyDescent="0.25">
      <c r="A16" s="1087">
        <v>30</v>
      </c>
      <c r="B16" s="1089" t="s">
        <v>412</v>
      </c>
      <c r="C16" s="1100" t="s">
        <v>411</v>
      </c>
      <c r="D16" s="1088">
        <v>0.65</v>
      </c>
      <c r="E16" s="1089" t="s">
        <v>32</v>
      </c>
      <c r="F16" s="1101">
        <v>1</v>
      </c>
      <c r="G16" s="1174" t="s">
        <v>554</v>
      </c>
      <c r="H16" s="1173">
        <f>1/8</f>
        <v>0.125</v>
      </c>
      <c r="I16" s="1099">
        <f t="shared" si="0"/>
        <v>8.1250000000000003E-2</v>
      </c>
      <c r="J16" s="511"/>
      <c r="K16" s="511"/>
      <c r="L16" s="511"/>
      <c r="M16" s="511"/>
      <c r="N16" s="511"/>
      <c r="O16" s="911"/>
    </row>
    <row r="17" spans="1:15" ht="16.899999999999999" customHeight="1" x14ac:dyDescent="0.25">
      <c r="A17" s="1095">
        <v>40</v>
      </c>
      <c r="B17" s="1096" t="s">
        <v>92</v>
      </c>
      <c r="C17" s="1097" t="s">
        <v>196</v>
      </c>
      <c r="D17" s="1088">
        <v>0.04</v>
      </c>
      <c r="E17" s="1096" t="s">
        <v>93</v>
      </c>
      <c r="F17" s="1098">
        <v>0.3</v>
      </c>
      <c r="G17" s="1098" t="s">
        <v>339</v>
      </c>
      <c r="H17" s="1098">
        <v>3</v>
      </c>
      <c r="I17" s="1099">
        <f t="shared" si="0"/>
        <v>3.6000000000000004E-2</v>
      </c>
      <c r="J17" s="514"/>
      <c r="K17" s="514"/>
      <c r="L17" s="514"/>
      <c r="M17" s="514"/>
      <c r="N17" s="514"/>
      <c r="O17" s="902"/>
    </row>
    <row r="18" spans="1:15" ht="15" customHeight="1" x14ac:dyDescent="0.25">
      <c r="A18" s="1095">
        <v>50</v>
      </c>
      <c r="B18" s="1100" t="s">
        <v>410</v>
      </c>
      <c r="C18" s="1100" t="s">
        <v>409</v>
      </c>
      <c r="D18" s="1088">
        <v>0.35</v>
      </c>
      <c r="E18" s="1089" t="s">
        <v>198</v>
      </c>
      <c r="F18" s="1101">
        <v>1</v>
      </c>
      <c r="G18" s="1102"/>
      <c r="H18" s="1098">
        <v>1</v>
      </c>
      <c r="I18" s="1099">
        <f t="shared" si="0"/>
        <v>0.35</v>
      </c>
      <c r="J18" s="516"/>
      <c r="K18" s="516"/>
      <c r="L18" s="516"/>
      <c r="M18" s="516"/>
      <c r="N18" s="516"/>
      <c r="O18" s="906"/>
    </row>
    <row r="19" spans="1:15" x14ac:dyDescent="0.25">
      <c r="A19" s="1075"/>
      <c r="B19" s="1076"/>
      <c r="C19" s="1076"/>
      <c r="D19" s="1076"/>
      <c r="E19" s="1076"/>
      <c r="F19" s="1076"/>
      <c r="G19" s="1076"/>
      <c r="H19" s="1077" t="s">
        <v>18</v>
      </c>
      <c r="I19" s="1080">
        <f>SUM(I14:I18)</f>
        <v>1.2897500000000002</v>
      </c>
      <c r="J19" s="1076"/>
      <c r="K19" s="1076"/>
      <c r="L19" s="1076"/>
      <c r="M19" s="1076"/>
      <c r="N19" s="1076"/>
      <c r="O19" s="264"/>
    </row>
    <row r="20" spans="1:15" x14ac:dyDescent="0.25">
      <c r="A20" s="903"/>
      <c r="B20" s="514"/>
      <c r="C20" s="514"/>
      <c r="D20" s="514"/>
      <c r="E20" s="514"/>
      <c r="F20" s="514"/>
      <c r="G20" s="514"/>
      <c r="H20" s="514"/>
      <c r="I20" s="516"/>
      <c r="J20" s="514"/>
      <c r="K20" s="514"/>
      <c r="L20" s="514"/>
      <c r="M20" s="514"/>
      <c r="N20" s="514"/>
      <c r="O20" s="902"/>
    </row>
    <row r="21" spans="1:15" ht="15.75" thickBot="1" x14ac:dyDescent="0.3">
      <c r="A21" s="901"/>
      <c r="B21" s="900"/>
      <c r="C21" s="900"/>
      <c r="D21" s="900"/>
      <c r="E21" s="900"/>
      <c r="F21" s="900"/>
      <c r="G21" s="900"/>
      <c r="H21" s="900"/>
      <c r="I21" s="900"/>
      <c r="J21" s="900"/>
      <c r="K21" s="900"/>
      <c r="L21" s="900"/>
      <c r="M21" s="900"/>
      <c r="N21" s="900"/>
      <c r="O21" s="899"/>
    </row>
  </sheetData>
  <hyperlinks>
    <hyperlink ref="B4" location="SU_A1200" display="SU_A1200" xr:uid="{00000000-0004-0000-8400-000000000000}"/>
    <hyperlink ref="F2" location="SU_A1200_BOM" display="Back to BOM" xr:uid="{00000000-0004-0000-84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5" fitToHeight="99" orientation="landscape" r:id="rId1"/>
  <headerFooter>
    <oddFooter>Page &amp;P</oddFooter>
  </headerFooter>
  <drawing r:id="rId2"/>
</worksheet>
</file>

<file path=xl/worksheets/sheet1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500-000000000000}">
  <sheetPr>
    <tabColor rgb="FFFFFF00"/>
    <pageSetUpPr fitToPage="1"/>
  </sheetPr>
  <dimension ref="A1:B1"/>
  <sheetViews>
    <sheetView zoomScaleNormal="100" zoomScalePageLayoutView="70" workbookViewId="0">
      <selection activeCell="B1" sqref="B1"/>
    </sheetView>
  </sheetViews>
  <sheetFormatPr baseColWidth="10" defaultRowHeight="15" x14ac:dyDescent="0.25"/>
  <sheetData>
    <row r="1" spans="1:2" x14ac:dyDescent="0.25">
      <c r="A1" t="s">
        <v>230</v>
      </c>
      <c r="B1" s="275" t="s">
        <v>523</v>
      </c>
    </row>
  </sheetData>
  <hyperlinks>
    <hyperlink ref="B1" location="SU_12002" display="SU_12002" xr:uid="{00000000-0004-0000-85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600-000000000000}">
  <sheetPr>
    <tabColor rgb="FFFFFF00"/>
    <pageSetUpPr fitToPage="1"/>
  </sheetPr>
  <dimension ref="A1:P40"/>
  <sheetViews>
    <sheetView zoomScale="70" zoomScaleNormal="70" zoomScalePageLayoutView="70" workbookViewId="0">
      <selection activeCell="E2" sqref="E2"/>
    </sheetView>
  </sheetViews>
  <sheetFormatPr baseColWidth="10" defaultRowHeight="15" x14ac:dyDescent="0.25"/>
  <cols>
    <col min="1" max="1" width="11.5703125" customWidth="1"/>
    <col min="2" max="2" width="34.85546875" customWidth="1"/>
    <col min="3" max="3" width="18" customWidth="1"/>
    <col min="5" max="5" width="15.28515625" customWidth="1"/>
    <col min="6" max="6" width="7.85546875" customWidth="1"/>
    <col min="7" max="7" width="38.28515625" customWidth="1"/>
    <col min="9" max="9" width="27.42578125" customWidth="1"/>
  </cols>
  <sheetData>
    <row r="1" spans="1:16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SU_12003_m+SU_12003_p</f>
        <v>0.34825628167808953</v>
      </c>
      <c r="O2" s="62"/>
    </row>
    <row r="3" spans="1:16" x14ac:dyDescent="0.25">
      <c r="A3" s="99" t="s">
        <v>3</v>
      </c>
      <c r="B3" s="16" t="str">
        <f>'SU A1200'!B3</f>
        <v>Suspension &amp; Shocks</v>
      </c>
      <c r="C3" s="56"/>
      <c r="D3" s="99" t="s">
        <v>6</v>
      </c>
      <c r="E3" s="275"/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6" x14ac:dyDescent="0.25">
      <c r="A4" s="99" t="s">
        <v>5</v>
      </c>
      <c r="B4" s="87" t="str">
        <f>'SU A1200'!B4</f>
        <v>Front Pullrod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25">
      <c r="A5" s="99" t="s">
        <v>15</v>
      </c>
      <c r="B5" s="28" t="s">
        <v>122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0.69651256335617906</v>
      </c>
      <c r="O5" s="62"/>
    </row>
    <row r="6" spans="1:16" x14ac:dyDescent="0.25">
      <c r="A6" s="99" t="s">
        <v>7</v>
      </c>
      <c r="B6" t="s">
        <v>524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103" t="s">
        <v>23</v>
      </c>
      <c r="G10" s="1103" t="s">
        <v>24</v>
      </c>
      <c r="H10" s="1103" t="s">
        <v>25</v>
      </c>
      <c r="I10" s="1103" t="s">
        <v>26</v>
      </c>
      <c r="J10" s="1103" t="s">
        <v>27</v>
      </c>
      <c r="K10" s="1103" t="s">
        <v>28</v>
      </c>
      <c r="L10" s="1103" t="s">
        <v>29</v>
      </c>
      <c r="M10" s="1103" t="s">
        <v>17</v>
      </c>
      <c r="N10" s="1103" t="s">
        <v>18</v>
      </c>
      <c r="O10" s="62"/>
    </row>
    <row r="11" spans="1:16" x14ac:dyDescent="0.25">
      <c r="A11" s="1104">
        <v>10</v>
      </c>
      <c r="B11" s="1105" t="s">
        <v>301</v>
      </c>
      <c r="C11" s="1106" t="s">
        <v>416</v>
      </c>
      <c r="D11" s="1107">
        <v>2.25</v>
      </c>
      <c r="E11" s="1108">
        <f>L11*J11*K11</f>
        <v>7.8916807458175604E-3</v>
      </c>
      <c r="F11" s="1106" t="s">
        <v>141</v>
      </c>
      <c r="G11" s="1106"/>
      <c r="H11" s="1109"/>
      <c r="I11" s="916" t="s">
        <v>415</v>
      </c>
      <c r="J11" s="1091">
        <f>PI()*8*8/1000000</f>
        <v>2.0106192982974677E-4</v>
      </c>
      <c r="K11" s="1110">
        <v>5.0000000000000001E-3</v>
      </c>
      <c r="L11" s="1111">
        <v>7850</v>
      </c>
      <c r="M11" s="1112">
        <v>1</v>
      </c>
      <c r="N11" s="1107">
        <f>IF(J11="",D11*M11,D11*J11*K11*L11*M11)</f>
        <v>1.7756281678089514E-2</v>
      </c>
      <c r="O11" s="66"/>
      <c r="P11" s="22"/>
    </row>
    <row r="12" spans="1:16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113" t="s">
        <v>18</v>
      </c>
      <c r="N12" s="106">
        <f>SUM(N11:N11)</f>
        <v>1.7756281678089514E-2</v>
      </c>
      <c r="O12" s="62"/>
    </row>
    <row r="13" spans="1:16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25">
      <c r="A14" s="1114" t="s">
        <v>14</v>
      </c>
      <c r="B14" s="1103" t="s">
        <v>31</v>
      </c>
      <c r="C14" s="1103" t="s">
        <v>20</v>
      </c>
      <c r="D14" s="1103" t="s">
        <v>21</v>
      </c>
      <c r="E14" s="1103" t="s">
        <v>32</v>
      </c>
      <c r="F14" s="1103" t="s">
        <v>17</v>
      </c>
      <c r="G14" s="1103" t="s">
        <v>33</v>
      </c>
      <c r="H14" s="1103" t="s">
        <v>34</v>
      </c>
      <c r="I14" s="1103" t="s">
        <v>18</v>
      </c>
      <c r="J14" s="24"/>
      <c r="K14" s="24"/>
      <c r="L14" s="24"/>
      <c r="M14" s="24"/>
      <c r="N14" s="24"/>
      <c r="O14" s="62"/>
    </row>
    <row r="15" spans="1:16" x14ac:dyDescent="0.25">
      <c r="A15" s="1115">
        <v>10</v>
      </c>
      <c r="B15" s="1070" t="s">
        <v>344</v>
      </c>
      <c r="C15" s="1070"/>
      <c r="D15" s="1068">
        <v>1.3</v>
      </c>
      <c r="E15" s="1070" t="s">
        <v>35</v>
      </c>
      <c r="F15" s="1070">
        <v>1</v>
      </c>
      <c r="G15" s="1070" t="s">
        <v>525</v>
      </c>
      <c r="H15" s="1070">
        <f>1/8</f>
        <v>0.125</v>
      </c>
      <c r="I15" s="1068">
        <f>D15*F15*H15</f>
        <v>0.16250000000000001</v>
      </c>
      <c r="J15" s="58"/>
      <c r="K15" s="58"/>
      <c r="L15" s="58"/>
      <c r="M15" s="58"/>
      <c r="N15" s="58"/>
      <c r="O15" s="68"/>
      <c r="P15" s="25"/>
    </row>
    <row r="16" spans="1:16" x14ac:dyDescent="0.25">
      <c r="A16" s="1115">
        <v>20</v>
      </c>
      <c r="B16" s="1070" t="s">
        <v>92</v>
      </c>
      <c r="C16" s="1070"/>
      <c r="D16" s="1068">
        <v>0.04</v>
      </c>
      <c r="E16" s="1070" t="s">
        <v>93</v>
      </c>
      <c r="F16" s="1070">
        <v>1.4</v>
      </c>
      <c r="G16" s="1070" t="s">
        <v>339</v>
      </c>
      <c r="H16" s="1070">
        <v>3</v>
      </c>
      <c r="I16" s="1068">
        <f>D16*F16*H16</f>
        <v>0.16799999999999998</v>
      </c>
      <c r="J16" s="56"/>
      <c r="K16" s="56"/>
      <c r="L16" s="56"/>
      <c r="M16" s="56"/>
      <c r="N16" s="56"/>
      <c r="O16" s="62"/>
    </row>
    <row r="17" spans="1:16" x14ac:dyDescent="0.25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0.33050000000000002</v>
      </c>
      <c r="J17" s="24"/>
      <c r="K17" s="24"/>
      <c r="L17" s="24"/>
      <c r="M17" s="24"/>
      <c r="N17" s="24"/>
      <c r="O17" s="62"/>
    </row>
    <row r="18" spans="1:16" ht="15.75" thickBot="1" x14ac:dyDescent="0.3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  <row r="22" spans="1:16" x14ac:dyDescent="0.25">
      <c r="A22" s="929"/>
      <c r="B22" s="929"/>
      <c r="C22" s="929"/>
      <c r="D22" s="929"/>
      <c r="E22" s="929"/>
      <c r="F22" s="929"/>
      <c r="G22" s="929"/>
      <c r="H22" s="929"/>
      <c r="I22" s="929"/>
      <c r="J22" s="929"/>
      <c r="K22" s="929"/>
      <c r="L22" s="929"/>
      <c r="M22" s="929"/>
      <c r="N22" s="929"/>
      <c r="O22" s="929"/>
      <c r="P22" s="929"/>
    </row>
    <row r="23" spans="1:16" x14ac:dyDescent="0.25">
      <c r="A23" s="929"/>
      <c r="B23" s="934"/>
      <c r="C23" s="930"/>
      <c r="D23" s="930"/>
      <c r="E23" s="930"/>
      <c r="F23" s="930"/>
      <c r="G23" s="950"/>
      <c r="H23" s="930"/>
      <c r="I23" s="930"/>
      <c r="J23" s="930"/>
      <c r="K23" s="953"/>
      <c r="L23" s="933"/>
      <c r="M23" s="930"/>
      <c r="N23" s="934"/>
      <c r="O23" s="941"/>
      <c r="P23" s="929"/>
    </row>
    <row r="24" spans="1:16" x14ac:dyDescent="0.25">
      <c r="A24" s="929"/>
      <c r="B24" s="934"/>
      <c r="C24" s="930"/>
      <c r="D24" s="1116"/>
      <c r="E24" s="950"/>
      <c r="F24" s="930"/>
      <c r="G24" s="930"/>
      <c r="H24" s="930"/>
      <c r="I24" s="930"/>
      <c r="J24" s="930"/>
      <c r="K24" s="930"/>
      <c r="L24" s="930"/>
      <c r="M24" s="930"/>
      <c r="N24" s="934"/>
      <c r="O24" s="951"/>
      <c r="P24" s="929"/>
    </row>
    <row r="25" spans="1:16" x14ac:dyDescent="0.25">
      <c r="A25" s="929"/>
      <c r="B25" s="934"/>
      <c r="C25" s="950"/>
      <c r="D25" s="930"/>
      <c r="E25" s="934"/>
      <c r="F25" s="930"/>
      <c r="G25" s="930"/>
      <c r="H25" s="930"/>
      <c r="I25" s="930"/>
      <c r="J25" s="930"/>
      <c r="K25" s="934"/>
      <c r="L25" s="930"/>
      <c r="M25" s="930"/>
      <c r="N25" s="930"/>
      <c r="O25" s="1117"/>
      <c r="P25" s="929"/>
    </row>
    <row r="26" spans="1:16" x14ac:dyDescent="0.25">
      <c r="A26" s="929"/>
      <c r="B26" s="934"/>
      <c r="C26" s="949"/>
      <c r="D26" s="930"/>
      <c r="E26" s="934"/>
      <c r="F26" s="930"/>
      <c r="G26" s="930"/>
      <c r="H26" s="930"/>
      <c r="I26" s="930"/>
      <c r="J26" s="930"/>
      <c r="K26" s="934"/>
      <c r="L26" s="930"/>
      <c r="M26" s="930"/>
      <c r="N26" s="934"/>
      <c r="O26" s="941"/>
      <c r="P26" s="929"/>
    </row>
    <row r="27" spans="1:16" x14ac:dyDescent="0.25">
      <c r="A27" s="929"/>
      <c r="B27" s="934"/>
      <c r="C27" s="948"/>
      <c r="D27" s="930"/>
      <c r="E27" s="930"/>
      <c r="F27" s="930"/>
      <c r="G27" s="930"/>
      <c r="H27" s="930"/>
      <c r="I27" s="930"/>
      <c r="J27" s="930"/>
      <c r="K27" s="934"/>
      <c r="L27" s="930"/>
      <c r="M27" s="930"/>
      <c r="N27" s="930"/>
      <c r="O27" s="930"/>
      <c r="P27" s="929"/>
    </row>
    <row r="28" spans="1:16" x14ac:dyDescent="0.25">
      <c r="A28" s="929"/>
      <c r="B28" s="934"/>
      <c r="C28" s="930"/>
      <c r="D28" s="930"/>
      <c r="E28" s="930"/>
      <c r="F28" s="930"/>
      <c r="G28" s="930"/>
      <c r="H28" s="930"/>
      <c r="I28" s="930"/>
      <c r="J28" s="930"/>
      <c r="K28" s="930"/>
      <c r="L28" s="930"/>
      <c r="M28" s="930"/>
      <c r="N28" s="930"/>
      <c r="O28" s="930"/>
      <c r="P28" s="929"/>
    </row>
    <row r="29" spans="1:16" x14ac:dyDescent="0.25">
      <c r="A29" s="929"/>
      <c r="B29" s="934"/>
      <c r="C29" s="1117"/>
      <c r="D29" s="1117"/>
      <c r="E29" s="1117"/>
      <c r="F29" s="1117"/>
      <c r="G29" s="1117"/>
      <c r="H29" s="1117"/>
      <c r="I29" s="1117"/>
      <c r="J29" s="1117"/>
      <c r="K29" s="1117"/>
      <c r="L29" s="1117"/>
      <c r="M29" s="1117"/>
      <c r="N29" s="1117"/>
      <c r="O29" s="1117"/>
      <c r="P29" s="929"/>
    </row>
    <row r="30" spans="1:16" x14ac:dyDescent="0.25">
      <c r="A30" s="929"/>
      <c r="B30" s="929"/>
      <c r="C30" s="929"/>
      <c r="D30" s="929"/>
      <c r="E30" s="929"/>
      <c r="F30" s="929"/>
      <c r="G30" s="929"/>
      <c r="H30" s="929"/>
      <c r="I30" s="929"/>
      <c r="J30" s="929"/>
      <c r="K30" s="929"/>
      <c r="L30" s="929"/>
      <c r="M30" s="929"/>
      <c r="N30" s="929"/>
      <c r="O30" s="929"/>
      <c r="P30" s="929"/>
    </row>
    <row r="31" spans="1:16" x14ac:dyDescent="0.25">
      <c r="A31" s="929"/>
      <c r="B31" s="934"/>
      <c r="C31" s="934"/>
      <c r="D31" s="934"/>
      <c r="E31" s="934"/>
      <c r="F31" s="934"/>
      <c r="G31" s="934"/>
      <c r="H31" s="934"/>
      <c r="I31" s="934"/>
      <c r="J31" s="934"/>
      <c r="K31" s="934"/>
      <c r="L31" s="934"/>
      <c r="M31" s="934"/>
      <c r="N31" s="934"/>
      <c r="O31" s="934"/>
      <c r="P31" s="929"/>
    </row>
    <row r="32" spans="1:16" x14ac:dyDescent="0.25">
      <c r="A32" s="929"/>
      <c r="B32" s="930"/>
      <c r="C32" s="930"/>
      <c r="D32" s="930"/>
      <c r="E32" s="937"/>
      <c r="F32" s="947"/>
      <c r="G32" s="930"/>
      <c r="H32" s="930"/>
      <c r="I32" s="946"/>
      <c r="J32" s="945"/>
      <c r="K32" s="944"/>
      <c r="L32" s="943"/>
      <c r="M32" s="942"/>
      <c r="N32" s="942"/>
      <c r="O32" s="941"/>
      <c r="P32" s="929"/>
    </row>
    <row r="33" spans="1:16" x14ac:dyDescent="0.25">
      <c r="A33" s="929"/>
      <c r="B33" s="934"/>
      <c r="C33" s="934"/>
      <c r="D33" s="934"/>
      <c r="E33" s="934"/>
      <c r="F33" s="934"/>
      <c r="G33" s="934"/>
      <c r="H33" s="934"/>
      <c r="I33" s="934"/>
      <c r="J33" s="934"/>
      <c r="K33" s="934"/>
      <c r="L33" s="934"/>
      <c r="M33" s="934"/>
      <c r="N33" s="936"/>
      <c r="O33" s="935"/>
      <c r="P33" s="929"/>
    </row>
    <row r="34" spans="1:16" x14ac:dyDescent="0.25">
      <c r="A34" s="929"/>
      <c r="B34" s="929"/>
      <c r="C34" s="929"/>
      <c r="D34" s="929"/>
      <c r="E34" s="929"/>
      <c r="F34" s="929"/>
      <c r="G34" s="929"/>
      <c r="H34" s="929"/>
      <c r="I34" s="929"/>
      <c r="J34" s="929"/>
      <c r="K34" s="929"/>
      <c r="L34" s="929"/>
      <c r="M34" s="929"/>
      <c r="N34" s="929"/>
      <c r="O34" s="929"/>
      <c r="P34" s="929"/>
    </row>
    <row r="35" spans="1:16" x14ac:dyDescent="0.25">
      <c r="A35" s="929"/>
      <c r="B35" s="934"/>
      <c r="C35" s="934"/>
      <c r="D35" s="934"/>
      <c r="E35" s="934"/>
      <c r="F35" s="934"/>
      <c r="G35" s="934"/>
      <c r="H35" s="934"/>
      <c r="I35" s="934"/>
      <c r="J35" s="934"/>
      <c r="K35" s="934"/>
      <c r="L35" s="934"/>
      <c r="M35" s="934"/>
      <c r="N35" s="934"/>
      <c r="O35" s="934"/>
      <c r="P35" s="929"/>
    </row>
    <row r="36" spans="1:16" x14ac:dyDescent="0.25">
      <c r="A36" s="929"/>
      <c r="B36" s="930"/>
      <c r="C36" s="664"/>
      <c r="D36" s="940"/>
      <c r="E36" s="937"/>
      <c r="F36" s="930"/>
      <c r="G36" s="930"/>
      <c r="H36" s="938"/>
      <c r="I36" s="939"/>
      <c r="J36" s="937"/>
      <c r="K36" s="1117"/>
      <c r="L36" s="1117"/>
      <c r="M36" s="1117"/>
      <c r="N36" s="1117"/>
      <c r="O36" s="1117"/>
      <c r="P36" s="929"/>
    </row>
    <row r="37" spans="1:16" x14ac:dyDescent="0.25">
      <c r="A37" s="929"/>
      <c r="B37" s="930"/>
      <c r="C37" s="664"/>
      <c r="D37" s="940"/>
      <c r="E37" s="937"/>
      <c r="F37" s="930"/>
      <c r="G37" s="939"/>
      <c r="H37" s="938"/>
      <c r="I37" s="930"/>
      <c r="J37" s="937"/>
      <c r="K37" s="1117"/>
      <c r="L37" s="1117"/>
      <c r="M37" s="1117"/>
      <c r="N37" s="1117"/>
      <c r="O37" s="1117"/>
      <c r="P37" s="929"/>
    </row>
    <row r="38" spans="1:16" x14ac:dyDescent="0.25">
      <c r="A38" s="929"/>
      <c r="B38" s="934"/>
      <c r="C38" s="934"/>
      <c r="D38" s="934"/>
      <c r="E38" s="934"/>
      <c r="F38" s="934"/>
      <c r="G38" s="934"/>
      <c r="H38" s="934"/>
      <c r="I38" s="936"/>
      <c r="J38" s="935"/>
      <c r="K38" s="934"/>
      <c r="L38" s="934"/>
      <c r="M38" s="934"/>
      <c r="N38" s="934"/>
      <c r="O38" s="934"/>
      <c r="P38" s="929"/>
    </row>
    <row r="39" spans="1:16" x14ac:dyDescent="0.25">
      <c r="A39" s="929"/>
      <c r="B39" s="1117"/>
      <c r="C39" s="1117"/>
      <c r="D39" s="1117"/>
      <c r="E39" s="1117"/>
      <c r="F39" s="1117"/>
      <c r="G39" s="1117"/>
      <c r="H39" s="1117"/>
      <c r="I39" s="933"/>
      <c r="J39" s="932"/>
      <c r="K39" s="1117"/>
      <c r="L39" s="930"/>
      <c r="M39" s="930"/>
      <c r="N39" s="930"/>
      <c r="O39" s="930"/>
      <c r="P39" s="929"/>
    </row>
    <row r="40" spans="1:16" x14ac:dyDescent="0.25">
      <c r="B40" s="928"/>
      <c r="C40" s="928"/>
      <c r="D40" s="928"/>
      <c r="E40" s="928"/>
      <c r="F40" s="928"/>
      <c r="G40" s="928"/>
      <c r="H40" s="928"/>
      <c r="I40" s="928"/>
      <c r="J40" s="928"/>
      <c r="K40" s="928"/>
      <c r="L40" s="928"/>
      <c r="M40" s="928"/>
      <c r="N40" s="928"/>
      <c r="O40" s="928"/>
    </row>
  </sheetData>
  <hyperlinks>
    <hyperlink ref="B4" location="SU_A1200" display="SU_A1200" xr:uid="{00000000-0004-0000-8600-000000000000}"/>
    <hyperlink ref="G2" location="SU_A1200_BOM" display="Back to BOM" xr:uid="{00000000-0004-0000-86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8" fitToHeight="99" orientation="landscape" r:id="rId1"/>
  <headerFooter>
    <oddFooter>Page &amp;P</oddFooter>
  </headerFooter>
  <drawing r:id="rId2"/>
</worksheet>
</file>

<file path=xl/worksheets/sheet1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7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5" t="s">
        <v>526</v>
      </c>
    </row>
  </sheetData>
  <hyperlinks>
    <hyperlink ref="B1" location="SU_12003" display="SU_12003" xr:uid="{00000000-0004-0000-87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800-000000000000}">
  <sheetPr>
    <tabColor rgb="FFFFFF66"/>
    <pageSetUpPr fitToPage="1"/>
  </sheetPr>
  <dimension ref="A1:P18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18.42578125" customWidth="1"/>
    <col min="3" max="3" width="15" customWidth="1"/>
    <col min="7" max="7" width="18.5703125" customWidth="1"/>
    <col min="9" max="9" width="14.7109375" customWidth="1"/>
  </cols>
  <sheetData>
    <row r="1" spans="1:16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SU_12003_m+SU_12003_p</f>
        <v>0.34825628167808953</v>
      </c>
      <c r="O2" s="62"/>
    </row>
    <row r="3" spans="1:16" x14ac:dyDescent="0.25">
      <c r="A3" s="99" t="s">
        <v>3</v>
      </c>
      <c r="B3" s="16" t="str">
        <f>'SU A1200'!B3</f>
        <v>Suspension &amp; Shocks</v>
      </c>
      <c r="C3" s="56"/>
      <c r="D3" s="99" t="s">
        <v>6</v>
      </c>
      <c r="E3" s="275"/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6" x14ac:dyDescent="0.25">
      <c r="A4" s="99" t="s">
        <v>5</v>
      </c>
      <c r="B4" s="87" t="str">
        <f>'SU A1200'!B4</f>
        <v>Front Pullrod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25">
      <c r="A5" s="99" t="s">
        <v>15</v>
      </c>
      <c r="B5" s="28" t="s">
        <v>121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0.69651256335617906</v>
      </c>
      <c r="O5" s="62"/>
    </row>
    <row r="6" spans="1:16" x14ac:dyDescent="0.25">
      <c r="A6" s="99" t="s">
        <v>7</v>
      </c>
      <c r="B6" t="s">
        <v>527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103" t="s">
        <v>23</v>
      </c>
      <c r="G10" s="1103" t="s">
        <v>24</v>
      </c>
      <c r="H10" s="1103" t="s">
        <v>25</v>
      </c>
      <c r="I10" s="1103" t="s">
        <v>26</v>
      </c>
      <c r="J10" s="1103" t="s">
        <v>27</v>
      </c>
      <c r="K10" s="1103" t="s">
        <v>28</v>
      </c>
      <c r="L10" s="1103" t="s">
        <v>29</v>
      </c>
      <c r="M10" s="1103" t="s">
        <v>17</v>
      </c>
      <c r="N10" s="1103" t="s">
        <v>18</v>
      </c>
      <c r="O10" s="62"/>
    </row>
    <row r="11" spans="1:16" ht="30" x14ac:dyDescent="0.25">
      <c r="A11" s="1118">
        <v>10</v>
      </c>
      <c r="B11" s="1119" t="s">
        <v>301</v>
      </c>
      <c r="C11" s="1120" t="s">
        <v>416</v>
      </c>
      <c r="D11" s="1121">
        <v>2.25</v>
      </c>
      <c r="E11" s="1122">
        <f>L11*J11*K11</f>
        <v>9.4700168949810731E-3</v>
      </c>
      <c r="F11" s="1120" t="s">
        <v>141</v>
      </c>
      <c r="G11" s="1120"/>
      <c r="H11" s="1123"/>
      <c r="I11" s="1124" t="s">
        <v>415</v>
      </c>
      <c r="J11" s="1125">
        <f>PI()*8*8/1000000</f>
        <v>2.0106192982974677E-4</v>
      </c>
      <c r="K11" s="1126">
        <v>6.0000000000000001E-3</v>
      </c>
      <c r="L11" s="1127">
        <v>7850</v>
      </c>
      <c r="M11" s="1128">
        <v>1</v>
      </c>
      <c r="N11" s="1121">
        <f>IF(J11="",D11*M11,D11*J11*K11*L11*M11)</f>
        <v>2.1307538013707415E-2</v>
      </c>
      <c r="O11" s="66"/>
      <c r="P11" s="22"/>
    </row>
    <row r="12" spans="1:16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113" t="s">
        <v>18</v>
      </c>
      <c r="N12" s="106">
        <f>SUM(N11:N11)</f>
        <v>2.1307538013707415E-2</v>
      </c>
      <c r="O12" s="62"/>
    </row>
    <row r="13" spans="1:16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25">
      <c r="A14" s="1114" t="s">
        <v>14</v>
      </c>
      <c r="B14" s="1103" t="s">
        <v>31</v>
      </c>
      <c r="C14" s="1103" t="s">
        <v>20</v>
      </c>
      <c r="D14" s="1103" t="s">
        <v>21</v>
      </c>
      <c r="E14" s="1103" t="s">
        <v>32</v>
      </c>
      <c r="F14" s="1103" t="s">
        <v>17</v>
      </c>
      <c r="G14" s="1103" t="s">
        <v>33</v>
      </c>
      <c r="H14" s="1103" t="s">
        <v>34</v>
      </c>
      <c r="I14" s="1103" t="s">
        <v>18</v>
      </c>
      <c r="J14" s="24"/>
      <c r="K14" s="24"/>
      <c r="L14" s="24"/>
      <c r="M14" s="24"/>
      <c r="N14" s="24"/>
      <c r="O14" s="62"/>
    </row>
    <row r="15" spans="1:16" ht="45" x14ac:dyDescent="0.25">
      <c r="A15" s="1129">
        <v>10</v>
      </c>
      <c r="B15" s="1130" t="s">
        <v>344</v>
      </c>
      <c r="C15" s="1130"/>
      <c r="D15" s="1131">
        <v>1.3</v>
      </c>
      <c r="E15" s="1130" t="s">
        <v>35</v>
      </c>
      <c r="F15" s="1130">
        <v>1</v>
      </c>
      <c r="G15" s="1130" t="s">
        <v>525</v>
      </c>
      <c r="H15" s="1130">
        <f>1/8</f>
        <v>0.125</v>
      </c>
      <c r="I15" s="1131">
        <f>D15*F15*H15</f>
        <v>0.16250000000000001</v>
      </c>
      <c r="J15" s="58"/>
      <c r="K15" s="58"/>
      <c r="L15" s="58"/>
      <c r="M15" s="58"/>
      <c r="N15" s="58"/>
      <c r="O15" s="68"/>
      <c r="P15" s="25"/>
    </row>
    <row r="16" spans="1:16" x14ac:dyDescent="0.25">
      <c r="A16" s="1129">
        <v>20</v>
      </c>
      <c r="B16" s="1130" t="s">
        <v>92</v>
      </c>
      <c r="C16" s="1130"/>
      <c r="D16" s="1131">
        <v>0.04</v>
      </c>
      <c r="E16" s="1130" t="s">
        <v>93</v>
      </c>
      <c r="F16" s="1130">
        <v>1.5</v>
      </c>
      <c r="G16" s="1130" t="s">
        <v>339</v>
      </c>
      <c r="H16" s="1130">
        <v>3</v>
      </c>
      <c r="I16" s="1131">
        <f>D16*F16*H16</f>
        <v>0.18</v>
      </c>
      <c r="J16" s="56"/>
      <c r="K16" s="56"/>
      <c r="L16" s="56"/>
      <c r="M16" s="56"/>
      <c r="N16" s="56"/>
      <c r="O16" s="62"/>
    </row>
    <row r="17" spans="1:15" x14ac:dyDescent="0.25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0.34250000000000003</v>
      </c>
      <c r="J17" s="24"/>
      <c r="K17" s="24"/>
      <c r="L17" s="24"/>
      <c r="M17" s="24"/>
      <c r="N17" s="24"/>
      <c r="O17" s="62"/>
    </row>
    <row r="18" spans="1:15" ht="15.75" thickBot="1" x14ac:dyDescent="0.3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B4" location="SU_A1200" display="SU_A1200" xr:uid="{00000000-0004-0000-8800-000000000000}"/>
    <hyperlink ref="G2" location="SU_A1200_BOM" display="Back to BOM" xr:uid="{00000000-0004-0000-88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3" fitToHeight="99" orientation="landscape" r:id="rId1"/>
  <headerFooter>
    <oddFooter>Page &amp;P</oddFooter>
  </headerFooter>
  <drawing r:id="rId2"/>
</worksheet>
</file>

<file path=xl/worksheets/sheet1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9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5" t="s">
        <v>528</v>
      </c>
    </row>
  </sheetData>
  <hyperlinks>
    <hyperlink ref="B1" location="SU_12004" display="SU_12004" xr:uid="{00000000-0004-0000-89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A00-000000000000}">
  <sheetPr>
    <tabColor rgb="FFFFFF00"/>
    <pageSetUpPr fitToPage="1"/>
  </sheetPr>
  <dimension ref="A1:O44"/>
  <sheetViews>
    <sheetView zoomScale="75" zoomScaleNormal="75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35.28515625" customWidth="1"/>
    <col min="3" max="3" width="45.85546875" customWidth="1"/>
    <col min="14" max="14" width="13" bestFit="1" customWidth="1"/>
    <col min="15" max="15" width="5.28515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SU_A1300_pa+SU_A1300_m+SU_A1300_p+SU_A1300_f</f>
        <v>12.362038127225963</v>
      </c>
      <c r="O2" s="62"/>
    </row>
    <row r="3" spans="1:15" x14ac:dyDescent="0.25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25">
      <c r="A4" s="95" t="s">
        <v>5</v>
      </c>
      <c r="B4" s="57" t="s">
        <v>529</v>
      </c>
      <c r="C4" s="704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62"/>
    </row>
    <row r="5" spans="1:15" x14ac:dyDescent="0.25">
      <c r="A5" s="95" t="s">
        <v>7</v>
      </c>
      <c r="B5" s="18" t="s">
        <v>530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80">
        <f>N2*SU_A1300_q</f>
        <v>24.724076254451926</v>
      </c>
      <c r="O5" s="62"/>
    </row>
    <row r="6" spans="1:15" x14ac:dyDescent="0.25">
      <c r="A6" s="95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62"/>
    </row>
    <row r="7" spans="1:15" x14ac:dyDescent="0.25">
      <c r="A7" s="95" t="s">
        <v>13</v>
      </c>
      <c r="B7" s="16" t="s">
        <v>531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633" t="s">
        <v>14</v>
      </c>
      <c r="B9" s="633" t="s">
        <v>15</v>
      </c>
      <c r="C9" s="633" t="s">
        <v>16</v>
      </c>
      <c r="D9" s="633" t="s">
        <v>17</v>
      </c>
      <c r="E9" s="633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1149">
        <v>10</v>
      </c>
      <c r="B10" s="275" t="str">
        <f>+'SU 13001'!B5</f>
        <v>Steel cylinder for pushrod</v>
      </c>
      <c r="C10" s="1107">
        <f>'SU 13001'!N2</f>
        <v>1.4513899941560895</v>
      </c>
      <c r="D10" s="1150">
        <f>SU_13001_q</f>
        <v>1</v>
      </c>
      <c r="E10" s="1107">
        <f>C10*D10</f>
        <v>1.4513899941560895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25">
      <c r="A11" s="1149">
        <v>20</v>
      </c>
      <c r="B11" s="1151" t="str">
        <f>+'SU 13002'!B5</f>
        <v>Spacer</v>
      </c>
      <c r="C11" s="1107">
        <f>'SU 13002'!N2</f>
        <v>0.36380753801370747</v>
      </c>
      <c r="D11" s="1149">
        <f>SU_13002_q</f>
        <v>4</v>
      </c>
      <c r="E11" s="1107">
        <f>C11*D11</f>
        <v>1.4552301520548299</v>
      </c>
      <c r="F11" s="57"/>
      <c r="G11" s="57"/>
      <c r="H11" s="57"/>
      <c r="I11" s="57"/>
      <c r="J11" s="57"/>
      <c r="K11" s="57"/>
      <c r="L11" s="57"/>
      <c r="M11" s="57"/>
      <c r="N11" s="57"/>
      <c r="O11" s="64"/>
    </row>
    <row r="12" spans="1:15" x14ac:dyDescent="0.25">
      <c r="A12" s="63"/>
      <c r="B12" s="56"/>
      <c r="C12" s="56"/>
      <c r="D12" s="259" t="s">
        <v>18</v>
      </c>
      <c r="E12" s="238">
        <f>SUM(E10:E11)</f>
        <v>2.9066201462109191</v>
      </c>
      <c r="F12" s="57"/>
      <c r="G12" s="57"/>
      <c r="H12" s="57"/>
      <c r="I12" s="57"/>
      <c r="J12" s="57"/>
      <c r="K12" s="57"/>
      <c r="L12" s="57"/>
      <c r="M12" s="57"/>
      <c r="N12" s="57"/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95" t="s">
        <v>14</v>
      </c>
      <c r="B14" s="95" t="s">
        <v>19</v>
      </c>
      <c r="C14" s="95" t="s">
        <v>20</v>
      </c>
      <c r="D14" s="95" t="s">
        <v>21</v>
      </c>
      <c r="E14" s="95" t="s">
        <v>22</v>
      </c>
      <c r="F14" s="95" t="s">
        <v>23</v>
      </c>
      <c r="G14" s="95" t="s">
        <v>24</v>
      </c>
      <c r="H14" s="95" t="s">
        <v>25</v>
      </c>
      <c r="I14" s="95" t="s">
        <v>26</v>
      </c>
      <c r="J14" s="95" t="s">
        <v>27</v>
      </c>
      <c r="K14" s="95" t="s">
        <v>28</v>
      </c>
      <c r="L14" s="95" t="s">
        <v>29</v>
      </c>
      <c r="M14" s="95" t="s">
        <v>17</v>
      </c>
      <c r="N14" s="95" t="s">
        <v>18</v>
      </c>
      <c r="O14" s="62"/>
    </row>
    <row r="15" spans="1:15" x14ac:dyDescent="0.25">
      <c r="A15" s="72">
        <v>10</v>
      </c>
      <c r="B15" s="1152" t="s">
        <v>399</v>
      </c>
      <c r="C15" s="1152" t="s">
        <v>400</v>
      </c>
      <c r="D15" s="1153">
        <f>0.02*E15^2+1.22</f>
        <v>2.5</v>
      </c>
      <c r="E15" s="1152">
        <v>8</v>
      </c>
      <c r="F15" s="1152" t="s">
        <v>30</v>
      </c>
      <c r="G15" s="1152"/>
      <c r="H15" s="1090"/>
      <c r="I15" s="1154" t="s">
        <v>397</v>
      </c>
      <c r="J15" s="1155"/>
      <c r="K15" s="1090"/>
      <c r="L15" s="1090"/>
      <c r="M15" s="1155">
        <v>1</v>
      </c>
      <c r="N15" s="1094">
        <f>D15*M15</f>
        <v>2.5</v>
      </c>
      <c r="O15" s="62"/>
    </row>
    <row r="16" spans="1:15" s="22" customFormat="1" x14ac:dyDescent="0.25">
      <c r="A16" s="72">
        <v>20</v>
      </c>
      <c r="B16" s="1152" t="s">
        <v>399</v>
      </c>
      <c r="C16" s="1152" t="s">
        <v>398</v>
      </c>
      <c r="D16" s="1153">
        <f>0.02*E16^2+1.22</f>
        <v>2.5</v>
      </c>
      <c r="E16" s="1152">
        <v>8</v>
      </c>
      <c r="F16" s="1152" t="s">
        <v>30</v>
      </c>
      <c r="G16" s="1152"/>
      <c r="H16" s="1090"/>
      <c r="I16" s="1156" t="s">
        <v>397</v>
      </c>
      <c r="J16" s="1155"/>
      <c r="K16" s="1090"/>
      <c r="L16" s="1092"/>
      <c r="M16" s="1155">
        <v>1</v>
      </c>
      <c r="N16" s="1094">
        <f>D16*M16</f>
        <v>2.5</v>
      </c>
      <c r="O16" s="66"/>
    </row>
    <row r="17" spans="1:15" x14ac:dyDescent="0.25">
      <c r="A17" s="67"/>
      <c r="B17" s="871"/>
      <c r="C17" s="24"/>
      <c r="D17" s="24"/>
      <c r="E17" s="24"/>
      <c r="F17" s="24"/>
      <c r="G17" s="24"/>
      <c r="H17" s="24"/>
      <c r="I17" s="24"/>
      <c r="J17" s="24"/>
      <c r="K17" s="24"/>
      <c r="L17" s="24"/>
      <c r="M17" s="95" t="s">
        <v>18</v>
      </c>
      <c r="N17" s="97">
        <f>SUM(N15:N16)</f>
        <v>5</v>
      </c>
      <c r="O17" s="62"/>
    </row>
    <row r="18" spans="1:15" x14ac:dyDescent="0.25">
      <c r="A18" s="63"/>
      <c r="B18" s="56"/>
      <c r="C18" s="56"/>
      <c r="D18" s="56"/>
      <c r="E18" s="56"/>
      <c r="F18" s="56"/>
      <c r="G18" s="56"/>
      <c r="H18" s="56"/>
      <c r="I18" s="56"/>
      <c r="J18" s="56"/>
      <c r="K18" s="56"/>
      <c r="L18" s="56"/>
      <c r="M18" s="56"/>
      <c r="N18" s="56"/>
      <c r="O18" s="62"/>
    </row>
    <row r="19" spans="1:15" s="25" customFormat="1" x14ac:dyDescent="0.25">
      <c r="A19" s="95" t="s">
        <v>14</v>
      </c>
      <c r="B19" s="95" t="s">
        <v>31</v>
      </c>
      <c r="C19" s="95" t="s">
        <v>20</v>
      </c>
      <c r="D19" s="95" t="s">
        <v>21</v>
      </c>
      <c r="E19" s="95" t="s">
        <v>32</v>
      </c>
      <c r="F19" s="95" t="s">
        <v>17</v>
      </c>
      <c r="G19" s="95" t="s">
        <v>33</v>
      </c>
      <c r="H19" s="95" t="s">
        <v>34</v>
      </c>
      <c r="I19" s="95" t="s">
        <v>18</v>
      </c>
      <c r="J19" s="24"/>
      <c r="K19" s="24"/>
      <c r="L19" s="24"/>
      <c r="M19" s="24"/>
      <c r="N19" s="24"/>
      <c r="O19" s="68"/>
    </row>
    <row r="20" spans="1:15" x14ac:dyDescent="0.25">
      <c r="A20" s="72">
        <v>10</v>
      </c>
      <c r="B20" s="1157" t="s">
        <v>289</v>
      </c>
      <c r="C20" s="1158" t="s">
        <v>392</v>
      </c>
      <c r="D20" s="74">
        <v>0.12</v>
      </c>
      <c r="E20" s="72" t="s">
        <v>35</v>
      </c>
      <c r="F20" s="72">
        <v>1</v>
      </c>
      <c r="G20" s="72"/>
      <c r="H20" s="72">
        <v>1</v>
      </c>
      <c r="I20" s="74">
        <f>D20*F20*H20</f>
        <v>0.12</v>
      </c>
      <c r="J20" s="56"/>
      <c r="K20" s="56"/>
      <c r="L20" s="56"/>
      <c r="M20" s="56"/>
      <c r="N20" s="56"/>
      <c r="O20" s="62"/>
    </row>
    <row r="21" spans="1:15" x14ac:dyDescent="0.25">
      <c r="A21" s="72">
        <v>20</v>
      </c>
      <c r="B21" s="1157" t="s">
        <v>391</v>
      </c>
      <c r="C21" s="1158" t="s">
        <v>532</v>
      </c>
      <c r="D21" s="74">
        <v>0.5</v>
      </c>
      <c r="E21" s="865" t="s">
        <v>35</v>
      </c>
      <c r="F21" s="72">
        <v>1</v>
      </c>
      <c r="G21" s="72"/>
      <c r="H21" s="72">
        <v>1</v>
      </c>
      <c r="I21" s="74">
        <f t="shared" ref="I21:I32" si="0">D21*F21*H21</f>
        <v>0.5</v>
      </c>
      <c r="J21" s="56"/>
      <c r="K21" s="56"/>
      <c r="L21" s="56"/>
      <c r="M21" s="56"/>
      <c r="N21" s="56"/>
      <c r="O21" s="62"/>
    </row>
    <row r="22" spans="1:15" x14ac:dyDescent="0.25">
      <c r="A22" s="72">
        <v>30</v>
      </c>
      <c r="B22" s="1157" t="s">
        <v>389</v>
      </c>
      <c r="C22" s="1158" t="s">
        <v>293</v>
      </c>
      <c r="D22" s="74">
        <v>1.5</v>
      </c>
      <c r="E22" s="72" t="s">
        <v>35</v>
      </c>
      <c r="F22" s="72">
        <v>1</v>
      </c>
      <c r="G22" s="72"/>
      <c r="H22" s="72">
        <v>1</v>
      </c>
      <c r="I22" s="74">
        <f t="shared" si="0"/>
        <v>1.5</v>
      </c>
      <c r="J22" s="56"/>
      <c r="K22" s="56"/>
      <c r="L22" s="56"/>
      <c r="M22" s="56"/>
      <c r="N22" s="56"/>
      <c r="O22" s="62"/>
    </row>
    <row r="23" spans="1:15" s="17" customFormat="1" x14ac:dyDescent="0.25">
      <c r="A23" s="72">
        <v>40</v>
      </c>
      <c r="B23" s="1157" t="s">
        <v>294</v>
      </c>
      <c r="C23" s="1158" t="s">
        <v>293</v>
      </c>
      <c r="D23" s="74">
        <v>0.25</v>
      </c>
      <c r="E23" s="72" t="s">
        <v>35</v>
      </c>
      <c r="F23" s="72">
        <v>1</v>
      </c>
      <c r="G23" s="72"/>
      <c r="H23" s="72">
        <v>1</v>
      </c>
      <c r="I23" s="74">
        <f t="shared" si="0"/>
        <v>0.25</v>
      </c>
      <c r="J23" s="57"/>
      <c r="K23" s="57"/>
      <c r="L23" s="57"/>
      <c r="M23" s="57"/>
      <c r="N23" s="57"/>
      <c r="O23" s="65"/>
    </row>
    <row r="24" spans="1:15" s="25" customFormat="1" x14ac:dyDescent="0.25">
      <c r="A24" s="72">
        <v>50</v>
      </c>
      <c r="B24" s="1158" t="s">
        <v>286</v>
      </c>
      <c r="C24" s="1158" t="s">
        <v>388</v>
      </c>
      <c r="D24" s="1159">
        <v>0.06</v>
      </c>
      <c r="E24" s="1160" t="s">
        <v>35</v>
      </c>
      <c r="F24" s="72">
        <v>1</v>
      </c>
      <c r="G24" s="1160"/>
      <c r="H24" s="1160">
        <v>1</v>
      </c>
      <c r="I24" s="74">
        <f t="shared" si="0"/>
        <v>0.06</v>
      </c>
      <c r="J24" s="57"/>
      <c r="K24" s="57"/>
      <c r="L24" s="57"/>
      <c r="M24" s="57"/>
      <c r="N24" s="57"/>
      <c r="O24" s="68"/>
    </row>
    <row r="25" spans="1:15" s="25" customFormat="1" x14ac:dyDescent="0.25">
      <c r="A25" s="232">
        <v>60</v>
      </c>
      <c r="B25" s="1158" t="s">
        <v>286</v>
      </c>
      <c r="C25" s="1158" t="s">
        <v>325</v>
      </c>
      <c r="D25" s="1159">
        <v>0.06</v>
      </c>
      <c r="E25" s="1160" t="s">
        <v>35</v>
      </c>
      <c r="F25" s="72">
        <v>1</v>
      </c>
      <c r="G25" s="1160"/>
      <c r="H25" s="1160">
        <v>1</v>
      </c>
      <c r="I25" s="74">
        <f t="shared" si="0"/>
        <v>0.06</v>
      </c>
      <c r="J25" s="57"/>
      <c r="K25" s="57"/>
      <c r="L25" s="57"/>
      <c r="M25" s="57"/>
      <c r="N25" s="57"/>
      <c r="O25" s="68"/>
    </row>
    <row r="26" spans="1:15" s="17" customFormat="1" ht="14.45" customHeight="1" x14ac:dyDescent="0.25">
      <c r="A26" s="232">
        <f>A25+10</f>
        <v>70</v>
      </c>
      <c r="B26" s="1157" t="s">
        <v>289</v>
      </c>
      <c r="C26" s="1158" t="s">
        <v>533</v>
      </c>
      <c r="D26" s="1159">
        <v>0.12</v>
      </c>
      <c r="E26" s="1160" t="s">
        <v>35</v>
      </c>
      <c r="F26" s="72">
        <v>1</v>
      </c>
      <c r="G26" s="1160"/>
      <c r="H26" s="1160">
        <v>1</v>
      </c>
      <c r="I26" s="74">
        <f t="shared" si="0"/>
        <v>0.12</v>
      </c>
      <c r="J26" s="57"/>
      <c r="K26" s="57"/>
      <c r="L26" s="57"/>
      <c r="M26" s="57"/>
      <c r="N26" s="57"/>
      <c r="O26" s="65"/>
    </row>
    <row r="27" spans="1:15" s="17" customFormat="1" ht="14.45" customHeight="1" x14ac:dyDescent="0.25">
      <c r="A27" s="232">
        <f t="shared" ref="A27:A32" si="1">A26+10</f>
        <v>80</v>
      </c>
      <c r="B27" s="1160" t="s">
        <v>286</v>
      </c>
      <c r="C27" s="1158" t="s">
        <v>386</v>
      </c>
      <c r="D27" s="1159">
        <v>0.06</v>
      </c>
      <c r="E27" s="1160" t="s">
        <v>35</v>
      </c>
      <c r="F27" s="72">
        <v>1</v>
      </c>
      <c r="G27" s="1160"/>
      <c r="H27" s="1160">
        <v>1</v>
      </c>
      <c r="I27" s="74">
        <f t="shared" si="0"/>
        <v>0.06</v>
      </c>
      <c r="J27" s="57"/>
      <c r="K27" s="57"/>
      <c r="L27" s="57"/>
      <c r="M27" s="57"/>
      <c r="N27" s="57"/>
      <c r="O27" s="65"/>
    </row>
    <row r="28" spans="1:15" s="17" customFormat="1" ht="14.45" customHeight="1" x14ac:dyDescent="0.25">
      <c r="A28" s="232">
        <f t="shared" si="1"/>
        <v>90</v>
      </c>
      <c r="B28" s="1160" t="s">
        <v>286</v>
      </c>
      <c r="C28" s="1158" t="s">
        <v>385</v>
      </c>
      <c r="D28" s="1159">
        <v>0.06</v>
      </c>
      <c r="E28" s="1160" t="s">
        <v>35</v>
      </c>
      <c r="F28" s="72">
        <v>1</v>
      </c>
      <c r="G28" s="1160"/>
      <c r="H28" s="1160">
        <v>1</v>
      </c>
      <c r="I28" s="74">
        <f t="shared" si="0"/>
        <v>0.06</v>
      </c>
      <c r="J28" s="57"/>
      <c r="K28" s="57"/>
      <c r="L28" s="57"/>
      <c r="M28" s="57"/>
      <c r="N28" s="57"/>
      <c r="O28" s="65"/>
    </row>
    <row r="29" spans="1:15" s="17" customFormat="1" ht="14.45" customHeight="1" x14ac:dyDescent="0.25">
      <c r="A29" s="232">
        <f t="shared" si="1"/>
        <v>100</v>
      </c>
      <c r="B29" s="1157" t="s">
        <v>289</v>
      </c>
      <c r="C29" s="1158" t="s">
        <v>534</v>
      </c>
      <c r="D29" s="1159">
        <v>0.12</v>
      </c>
      <c r="E29" s="1160" t="s">
        <v>35</v>
      </c>
      <c r="F29" s="72">
        <v>1</v>
      </c>
      <c r="G29" s="1160"/>
      <c r="H29" s="1160">
        <v>1</v>
      </c>
      <c r="I29" s="74">
        <f t="shared" si="0"/>
        <v>0.12</v>
      </c>
      <c r="J29" s="57"/>
      <c r="K29" s="57"/>
      <c r="L29" s="57"/>
      <c r="M29" s="57"/>
      <c r="N29" s="57"/>
      <c r="O29" s="65"/>
    </row>
    <row r="30" spans="1:15" s="17" customFormat="1" ht="14.45" customHeight="1" x14ac:dyDescent="0.25">
      <c r="A30" s="232">
        <f t="shared" si="1"/>
        <v>110</v>
      </c>
      <c r="B30" s="1157" t="s">
        <v>289</v>
      </c>
      <c r="C30" s="1158" t="s">
        <v>291</v>
      </c>
      <c r="D30" s="1159">
        <v>0.12</v>
      </c>
      <c r="E30" s="1160" t="s">
        <v>35</v>
      </c>
      <c r="F30" s="72">
        <v>1</v>
      </c>
      <c r="G30" s="1160"/>
      <c r="H30" s="1160">
        <v>1</v>
      </c>
      <c r="I30" s="74">
        <f t="shared" si="0"/>
        <v>0.12</v>
      </c>
      <c r="J30" s="57"/>
      <c r="K30" s="57"/>
      <c r="L30" s="57"/>
      <c r="M30" s="57"/>
      <c r="N30" s="57"/>
      <c r="O30" s="65"/>
    </row>
    <row r="31" spans="1:15" s="17" customFormat="1" ht="14.45" customHeight="1" x14ac:dyDescent="0.25">
      <c r="A31" s="232">
        <f t="shared" si="1"/>
        <v>120</v>
      </c>
      <c r="B31" s="1157" t="s">
        <v>292</v>
      </c>
      <c r="C31" s="1158" t="s">
        <v>293</v>
      </c>
      <c r="D31" s="1159">
        <v>0.75</v>
      </c>
      <c r="E31" s="1160" t="s">
        <v>35</v>
      </c>
      <c r="F31" s="72">
        <v>1</v>
      </c>
      <c r="G31" s="1160"/>
      <c r="H31" s="1160">
        <v>1</v>
      </c>
      <c r="I31" s="74">
        <f t="shared" si="0"/>
        <v>0.75</v>
      </c>
      <c r="J31" s="57"/>
      <c r="K31" s="57"/>
      <c r="L31" s="57"/>
      <c r="M31" s="57"/>
      <c r="N31" s="57"/>
      <c r="O31" s="65"/>
    </row>
    <row r="32" spans="1:15" s="17" customFormat="1" ht="14.45" customHeight="1" x14ac:dyDescent="0.25">
      <c r="A32" s="232">
        <f t="shared" si="1"/>
        <v>130</v>
      </c>
      <c r="B32" s="1157" t="s">
        <v>294</v>
      </c>
      <c r="C32" s="1158" t="s">
        <v>293</v>
      </c>
      <c r="D32" s="1159">
        <v>0.25</v>
      </c>
      <c r="E32" s="1160" t="s">
        <v>35</v>
      </c>
      <c r="F32" s="72">
        <v>1</v>
      </c>
      <c r="G32" s="1160"/>
      <c r="H32" s="1160">
        <v>1</v>
      </c>
      <c r="I32" s="74">
        <f t="shared" si="0"/>
        <v>0.25</v>
      </c>
      <c r="J32" s="57"/>
      <c r="K32" s="57"/>
      <c r="L32" s="57"/>
      <c r="M32" s="57"/>
      <c r="N32" s="57"/>
      <c r="O32" s="65"/>
    </row>
    <row r="33" spans="1:15" x14ac:dyDescent="0.25">
      <c r="A33" s="67"/>
      <c r="B33" s="24"/>
      <c r="C33" s="24"/>
      <c r="D33" s="24"/>
      <c r="E33" s="24"/>
      <c r="F33" s="24"/>
      <c r="G33" s="24"/>
      <c r="H33" s="98" t="s">
        <v>18</v>
      </c>
      <c r="I33" s="97">
        <f>SUM(I20:I32)</f>
        <v>3.9700000000000006</v>
      </c>
      <c r="J33" s="56"/>
      <c r="K33" s="56"/>
      <c r="L33" s="56"/>
      <c r="M33" s="56"/>
      <c r="N33" s="56"/>
      <c r="O33" s="62"/>
    </row>
    <row r="34" spans="1:15" x14ac:dyDescent="0.25">
      <c r="A34" s="63"/>
      <c r="B34" s="56"/>
      <c r="C34" s="56"/>
      <c r="D34" s="56"/>
      <c r="E34" s="56"/>
      <c r="F34" s="56"/>
      <c r="G34" s="56"/>
      <c r="H34" s="56"/>
      <c r="I34" s="56"/>
      <c r="J34" s="56"/>
      <c r="K34" s="56"/>
      <c r="L34" s="56"/>
      <c r="M34" s="56"/>
      <c r="N34" s="56"/>
      <c r="O34" s="62"/>
    </row>
    <row r="35" spans="1:15" x14ac:dyDescent="0.25">
      <c r="A35" s="95" t="s">
        <v>14</v>
      </c>
      <c r="B35" s="95" t="s">
        <v>36</v>
      </c>
      <c r="C35" s="95" t="s">
        <v>20</v>
      </c>
      <c r="D35" s="95" t="s">
        <v>21</v>
      </c>
      <c r="E35" s="95" t="s">
        <v>22</v>
      </c>
      <c r="F35" s="95" t="s">
        <v>23</v>
      </c>
      <c r="G35" s="95" t="s">
        <v>24</v>
      </c>
      <c r="H35" s="95" t="s">
        <v>25</v>
      </c>
      <c r="I35" s="95" t="s">
        <v>17</v>
      </c>
      <c r="J35" s="95" t="s">
        <v>18</v>
      </c>
      <c r="K35" s="56"/>
      <c r="L35" s="56"/>
      <c r="M35" s="56"/>
      <c r="N35" s="56"/>
      <c r="O35" s="62"/>
    </row>
    <row r="36" spans="1:15" x14ac:dyDescent="0.25">
      <c r="A36" s="72">
        <v>10</v>
      </c>
      <c r="B36" s="72" t="s">
        <v>295</v>
      </c>
      <c r="C36" s="72" t="s">
        <v>535</v>
      </c>
      <c r="D36" s="659">
        <f>0.8/105154*E36^2*G36*SQRT(G36)+0.003*EXP(0.319*E36)</f>
        <v>0.18547981844542938</v>
      </c>
      <c r="E36" s="660">
        <v>8</v>
      </c>
      <c r="F36" s="660" t="s">
        <v>30</v>
      </c>
      <c r="G36" s="660">
        <v>45</v>
      </c>
      <c r="H36" s="660" t="s">
        <v>30</v>
      </c>
      <c r="I36" s="82">
        <v>1</v>
      </c>
      <c r="J36" s="74">
        <f>D36*I36</f>
        <v>0.18547981844542938</v>
      </c>
      <c r="K36" s="56"/>
      <c r="L36" s="56"/>
      <c r="M36" s="56"/>
      <c r="N36" s="56"/>
      <c r="O36" s="62"/>
    </row>
    <row r="37" spans="1:15" x14ac:dyDescent="0.25">
      <c r="A37" s="72">
        <f>A36+10</f>
        <v>20</v>
      </c>
      <c r="B37" s="72" t="s">
        <v>295</v>
      </c>
      <c r="C37" s="72" t="s">
        <v>536</v>
      </c>
      <c r="D37" s="659">
        <f>0.8/105154*E37^2*G37*SQRT(G37)+0.003*EXP(0.319*E37)</f>
        <v>0.18547981844542938</v>
      </c>
      <c r="E37" s="660">
        <v>8</v>
      </c>
      <c r="F37" s="660" t="s">
        <v>30</v>
      </c>
      <c r="G37" s="660">
        <v>45</v>
      </c>
      <c r="H37" s="660" t="s">
        <v>30</v>
      </c>
      <c r="I37" s="82">
        <v>1</v>
      </c>
      <c r="J37" s="74">
        <f t="shared" ref="J37:J40" si="2">D37*I37</f>
        <v>0.18547981844542938</v>
      </c>
      <c r="K37" s="56"/>
      <c r="L37" s="56"/>
      <c r="M37" s="56"/>
      <c r="N37" s="56"/>
      <c r="O37" s="62"/>
    </row>
    <row r="38" spans="1:15" x14ac:dyDescent="0.25">
      <c r="A38" s="72">
        <f t="shared" ref="A38:A40" si="3">A37+10</f>
        <v>30</v>
      </c>
      <c r="B38" s="72" t="s">
        <v>297</v>
      </c>
      <c r="C38" s="72"/>
      <c r="D38" s="659">
        <v>0.01</v>
      </c>
      <c r="E38" s="72">
        <v>8</v>
      </c>
      <c r="F38" s="661" t="s">
        <v>35</v>
      </c>
      <c r="G38" s="72"/>
      <c r="H38" s="72"/>
      <c r="I38" s="82">
        <v>4</v>
      </c>
      <c r="J38" s="74">
        <f t="shared" si="2"/>
        <v>0.04</v>
      </c>
      <c r="K38" s="56"/>
      <c r="L38" s="56"/>
      <c r="M38" s="56"/>
      <c r="N38" s="56"/>
      <c r="O38" s="62"/>
    </row>
    <row r="39" spans="1:15" x14ac:dyDescent="0.25">
      <c r="A39" s="72">
        <f t="shared" si="3"/>
        <v>40</v>
      </c>
      <c r="B39" s="72" t="s">
        <v>298</v>
      </c>
      <c r="C39" s="72" t="s">
        <v>381</v>
      </c>
      <c r="D39" s="659">
        <f>0.009*EXP(0.2*E39)</f>
        <v>2.9881052304628931E-2</v>
      </c>
      <c r="E39" s="72">
        <v>6</v>
      </c>
      <c r="F39" s="661" t="s">
        <v>30</v>
      </c>
      <c r="G39" s="72"/>
      <c r="H39" s="72"/>
      <c r="I39" s="82">
        <v>1</v>
      </c>
      <c r="J39" s="74">
        <f t="shared" si="2"/>
        <v>2.9881052304628931E-2</v>
      </c>
      <c r="K39" s="56"/>
      <c r="L39" s="56"/>
      <c r="M39" s="56"/>
      <c r="N39" s="56"/>
      <c r="O39" s="62"/>
    </row>
    <row r="40" spans="1:15" x14ac:dyDescent="0.25">
      <c r="A40" s="72">
        <f t="shared" si="3"/>
        <v>50</v>
      </c>
      <c r="B40" s="72" t="s">
        <v>298</v>
      </c>
      <c r="C40" s="72" t="s">
        <v>380</v>
      </c>
      <c r="D40" s="659">
        <f>0.009*EXP(0.2*E40)</f>
        <v>4.4577291819556032E-2</v>
      </c>
      <c r="E40" s="72">
        <v>8</v>
      </c>
      <c r="F40" s="661" t="s">
        <v>30</v>
      </c>
      <c r="G40" s="72"/>
      <c r="H40" s="72"/>
      <c r="I40" s="82">
        <v>1</v>
      </c>
      <c r="J40" s="74">
        <f t="shared" si="2"/>
        <v>4.4577291819556032E-2</v>
      </c>
      <c r="K40" s="56"/>
      <c r="L40" s="56"/>
      <c r="M40" s="56"/>
      <c r="N40" s="56"/>
      <c r="O40" s="62"/>
    </row>
    <row r="41" spans="1:15" x14ac:dyDescent="0.25">
      <c r="A41" s="67"/>
      <c r="B41" s="24"/>
      <c r="C41" s="24"/>
      <c r="D41" s="24"/>
      <c r="E41" s="24"/>
      <c r="F41" s="24"/>
      <c r="G41" s="24"/>
      <c r="H41" s="24"/>
      <c r="I41" s="98" t="s">
        <v>18</v>
      </c>
      <c r="J41" s="97">
        <f>SUM(J36:J40)</f>
        <v>0.48541798101504374</v>
      </c>
      <c r="K41" s="56"/>
      <c r="L41" s="56"/>
      <c r="M41" s="56"/>
      <c r="N41" s="56"/>
      <c r="O41" s="62"/>
    </row>
    <row r="42" spans="1:15" x14ac:dyDescent="0.25">
      <c r="A42" s="63"/>
      <c r="B42" s="56"/>
      <c r="C42" s="56"/>
      <c r="D42" s="56"/>
      <c r="E42" s="56"/>
      <c r="F42" s="56"/>
      <c r="G42" s="56"/>
      <c r="H42" s="56"/>
      <c r="I42" s="56"/>
      <c r="J42" s="56"/>
      <c r="K42" s="56"/>
      <c r="L42" s="56"/>
      <c r="M42" s="56"/>
      <c r="N42" s="56"/>
      <c r="O42" s="62"/>
    </row>
    <row r="43" spans="1:15" ht="15.75" thickBot="1" x14ac:dyDescent="0.3">
      <c r="A43" s="69"/>
      <c r="B43" s="70"/>
      <c r="C43" s="70"/>
      <c r="D43" s="70"/>
      <c r="E43" s="70"/>
      <c r="F43" s="70"/>
      <c r="G43" s="70"/>
      <c r="H43" s="70"/>
      <c r="I43" s="70"/>
      <c r="J43" s="70"/>
      <c r="K43" s="70"/>
      <c r="L43" s="70"/>
      <c r="M43" s="70"/>
      <c r="N43" s="70"/>
      <c r="O43" s="71"/>
    </row>
    <row r="44" spans="1:15" x14ac:dyDescent="0.25">
      <c r="A44" s="56"/>
      <c r="B44" s="56"/>
      <c r="C44" s="56"/>
      <c r="D44" s="56"/>
      <c r="E44" s="56"/>
      <c r="F44" s="56"/>
      <c r="G44" s="56"/>
      <c r="H44" s="56"/>
      <c r="I44" s="56"/>
      <c r="J44" s="56"/>
      <c r="K44" s="56"/>
      <c r="L44" s="56"/>
      <c r="M44" s="56"/>
      <c r="N44" s="56"/>
    </row>
  </sheetData>
  <hyperlinks>
    <hyperlink ref="B11" location="SU_13002" display="SU_13002" xr:uid="{00000000-0004-0000-8A00-000000000000}"/>
    <hyperlink ref="B10" location="SU_13001" display="SU_13001" xr:uid="{00000000-0004-0000-8A00-000001000000}"/>
    <hyperlink ref="E2" location="SU_A1300_BOM" display="Back to BOM" xr:uid="{00000000-0004-0000-8A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1" firstPageNumber="0" fitToHeight="99" orientation="landscape" r:id="rId1"/>
  <headerFooter>
    <oddFooter>Page &amp;P</oddFooter>
  </headerFooter>
  <rowBreaks count="1" manualBreakCount="1">
    <brk id="43" max="16383" man="1"/>
  </rowBreak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FFFF66"/>
    <pageSetUpPr fitToPage="1"/>
  </sheetPr>
  <dimension ref="A1:L58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20" customWidth="1"/>
  </cols>
  <sheetData>
    <row r="1" spans="1:2" x14ac:dyDescent="0.25">
      <c r="A1" t="s">
        <v>99</v>
      </c>
      <c r="B1" s="88" t="str">
        <f>SU_01007</f>
        <v>SU_01007</v>
      </c>
    </row>
    <row r="58" spans="12:12" x14ac:dyDescent="0.25">
      <c r="L58" s="86">
        <f>'SU 01002'!L52</f>
        <v>0</v>
      </c>
    </row>
  </sheetData>
  <hyperlinks>
    <hyperlink ref="B1" location="SU_01007" display="SU_01007" xr:uid="{00000000-0004-0000-0D00-000000000000}"/>
    <hyperlink ref="L58" location="BR_01001" display="BR_01001" xr:uid="{00000000-0004-0000-0D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96" fitToHeight="99" orientation="landscape" r:id="rId1"/>
  <headerFooter>
    <oddFooter>Page &amp;P</oddFooter>
  </headerFooter>
  <drawing r:id="rId2"/>
</worksheet>
</file>

<file path=xl/worksheets/sheet1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B00-000000000000}">
  <sheetPr>
    <tabColor rgb="FFFFFF66"/>
    <pageSetUpPr fitToPage="1"/>
  </sheetPr>
  <dimension ref="A1:O283"/>
  <sheetViews>
    <sheetView zoomScale="70" zoomScaleNormal="70" zoomScalePageLayoutView="70" workbookViewId="0">
      <selection activeCell="E2" sqref="E2"/>
    </sheetView>
  </sheetViews>
  <sheetFormatPr baseColWidth="10" defaultRowHeight="15" x14ac:dyDescent="0.25"/>
  <cols>
    <col min="2" max="2" width="31.85546875" customWidth="1"/>
    <col min="3" max="3" width="28.7109375" customWidth="1"/>
    <col min="7" max="7" width="40.28515625" customWidth="1"/>
    <col min="9" max="9" width="32.85546875" customWidth="1"/>
    <col min="10" max="10" width="13.5703125" customWidth="1"/>
  </cols>
  <sheetData>
    <row r="1" spans="1:15" x14ac:dyDescent="0.25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25">
      <c r="A2" s="1054" t="s">
        <v>0</v>
      </c>
      <c r="B2" s="16" t="s">
        <v>37</v>
      </c>
      <c r="C2" s="1055"/>
      <c r="D2" s="1055"/>
      <c r="E2" s="1055"/>
      <c r="F2" s="87" t="s">
        <v>62</v>
      </c>
      <c r="G2" s="1055"/>
      <c r="H2" s="1055"/>
      <c r="I2" s="1055"/>
      <c r="J2" s="1056" t="s">
        <v>1</v>
      </c>
      <c r="K2" s="1057">
        <v>81</v>
      </c>
      <c r="L2" s="1055"/>
      <c r="M2" s="1058" t="s">
        <v>16</v>
      </c>
      <c r="N2" s="1059">
        <f>SU_13001_m+SU_13001_p</f>
        <v>1.4513899941560895</v>
      </c>
      <c r="O2" s="264"/>
    </row>
    <row r="3" spans="1:15" x14ac:dyDescent="0.25">
      <c r="A3" s="1060" t="s">
        <v>3</v>
      </c>
      <c r="B3" s="16" t="str">
        <f>'SU A1300'!B3</f>
        <v>Suspension &amp; Shocks</v>
      </c>
      <c r="C3" s="1055"/>
      <c r="D3" s="1058" t="s">
        <v>6</v>
      </c>
      <c r="E3" s="87" t="s">
        <v>60</v>
      </c>
      <c r="F3" s="1055"/>
      <c r="G3" s="1055"/>
      <c r="H3" s="1055"/>
      <c r="I3" s="1055"/>
      <c r="J3" s="1055"/>
      <c r="K3" s="1055"/>
      <c r="L3" s="1055"/>
      <c r="M3" s="1061" t="s">
        <v>4</v>
      </c>
      <c r="N3" s="1062">
        <v>1</v>
      </c>
      <c r="O3" s="264"/>
    </row>
    <row r="4" spans="1:15" x14ac:dyDescent="0.25">
      <c r="A4" s="1060" t="s">
        <v>5</v>
      </c>
      <c r="B4" s="87" t="str">
        <f>'SU A1300'!B4</f>
        <v>Rear Pushrod</v>
      </c>
      <c r="C4" s="1055"/>
      <c r="D4" s="1061" t="s">
        <v>8</v>
      </c>
      <c r="E4" s="1055"/>
      <c r="F4" s="1055"/>
      <c r="G4" s="1055"/>
      <c r="H4" s="1055"/>
      <c r="I4" s="1055"/>
      <c r="J4" s="1058" t="s">
        <v>6</v>
      </c>
      <c r="K4" s="1055"/>
      <c r="L4" s="1055"/>
      <c r="M4" s="1055"/>
      <c r="N4" s="1055"/>
      <c r="O4" s="264"/>
    </row>
    <row r="5" spans="1:15" x14ac:dyDescent="0.25">
      <c r="A5" s="1060" t="s">
        <v>15</v>
      </c>
      <c r="B5" s="736" t="s">
        <v>537</v>
      </c>
      <c r="C5" s="1055"/>
      <c r="D5" s="1061" t="s">
        <v>12</v>
      </c>
      <c r="E5" s="1055"/>
      <c r="F5" s="1055"/>
      <c r="G5" s="1055"/>
      <c r="H5" s="1055"/>
      <c r="I5" s="1055"/>
      <c r="J5" s="1061" t="s">
        <v>8</v>
      </c>
      <c r="K5" s="1055"/>
      <c r="L5" s="1055"/>
      <c r="M5" s="1058" t="s">
        <v>9</v>
      </c>
      <c r="N5" s="1059">
        <f>N2*SU_13001_q</f>
        <v>1.4513899941560895</v>
      </c>
      <c r="O5" s="264"/>
    </row>
    <row r="6" spans="1:15" x14ac:dyDescent="0.25">
      <c r="A6" s="1060" t="s">
        <v>7</v>
      </c>
      <c r="B6" s="56" t="s">
        <v>538</v>
      </c>
      <c r="C6" s="1055"/>
      <c r="D6" s="1055"/>
      <c r="E6" s="1055"/>
      <c r="F6" s="1055"/>
      <c r="G6" s="1055"/>
      <c r="H6" s="1055"/>
      <c r="I6" s="1055"/>
      <c r="J6" s="1061" t="s">
        <v>12</v>
      </c>
      <c r="K6" s="1055"/>
      <c r="L6" s="1055"/>
      <c r="M6" s="1055"/>
      <c r="N6" s="1055"/>
      <c r="O6" s="264"/>
    </row>
    <row r="7" spans="1:15" x14ac:dyDescent="0.25">
      <c r="A7" s="1060" t="s">
        <v>10</v>
      </c>
      <c r="B7" s="16" t="s">
        <v>11</v>
      </c>
      <c r="C7" s="1055"/>
      <c r="D7" s="1055"/>
      <c r="E7" s="1055"/>
      <c r="F7" s="1055"/>
      <c r="G7" s="1055"/>
      <c r="H7" s="1055"/>
      <c r="I7" s="1055"/>
      <c r="J7" s="1055"/>
      <c r="K7" s="1055"/>
      <c r="L7" s="1055"/>
      <c r="M7" s="1055"/>
      <c r="N7" s="1055"/>
      <c r="O7" s="264"/>
    </row>
    <row r="8" spans="1:15" x14ac:dyDescent="0.25">
      <c r="A8" s="1060" t="s">
        <v>13</v>
      </c>
      <c r="B8" s="16"/>
      <c r="C8" s="1055"/>
      <c r="D8" s="1055"/>
      <c r="E8" s="1055"/>
      <c r="F8" s="1055"/>
      <c r="G8" s="1055"/>
      <c r="H8" s="1055"/>
      <c r="I8" s="1055"/>
      <c r="J8" s="1055"/>
      <c r="K8" s="1055"/>
      <c r="L8" s="1055"/>
      <c r="M8" s="1055"/>
      <c r="N8" s="1055"/>
      <c r="O8" s="264"/>
    </row>
    <row r="9" spans="1:15" x14ac:dyDescent="0.25">
      <c r="A9" s="1063"/>
      <c r="B9" s="1055"/>
      <c r="C9" s="1055"/>
      <c r="D9" s="1055"/>
      <c r="E9" s="1055"/>
      <c r="F9" s="1055"/>
      <c r="G9" s="1055"/>
      <c r="H9" s="1055"/>
      <c r="I9" s="1055"/>
      <c r="J9" s="1055"/>
      <c r="K9" s="1055"/>
      <c r="L9" s="1055"/>
      <c r="M9" s="1055"/>
      <c r="N9" s="1055"/>
      <c r="O9" s="264"/>
    </row>
    <row r="10" spans="1:15" x14ac:dyDescent="0.25">
      <c r="A10" s="1064" t="s">
        <v>14</v>
      </c>
      <c r="B10" s="1065" t="s">
        <v>19</v>
      </c>
      <c r="C10" s="1065" t="s">
        <v>20</v>
      </c>
      <c r="D10" s="1065" t="s">
        <v>21</v>
      </c>
      <c r="E10" s="1065" t="s">
        <v>22</v>
      </c>
      <c r="F10" s="1065" t="s">
        <v>23</v>
      </c>
      <c r="G10" s="1065" t="s">
        <v>24</v>
      </c>
      <c r="H10" s="1065" t="s">
        <v>25</v>
      </c>
      <c r="I10" s="1065" t="s">
        <v>26</v>
      </c>
      <c r="J10" s="1065" t="s">
        <v>27</v>
      </c>
      <c r="K10" s="1065" t="s">
        <v>28</v>
      </c>
      <c r="L10" s="1065" t="s">
        <v>29</v>
      </c>
      <c r="M10" s="1065" t="s">
        <v>17</v>
      </c>
      <c r="N10" s="1065" t="s">
        <v>18</v>
      </c>
      <c r="O10" s="264"/>
    </row>
    <row r="11" spans="1:15" ht="15" customHeight="1" x14ac:dyDescent="0.25">
      <c r="A11" s="1066">
        <v>10</v>
      </c>
      <c r="B11" s="796" t="s">
        <v>539</v>
      </c>
      <c r="C11" s="1067" t="s">
        <v>540</v>
      </c>
      <c r="D11" s="1068">
        <v>2.25</v>
      </c>
      <c r="E11" s="1069">
        <f>J11*K11*L11</f>
        <v>4.5062219624928589E-2</v>
      </c>
      <c r="F11" s="1070" t="s">
        <v>141</v>
      </c>
      <c r="G11" s="1070"/>
      <c r="H11" s="1071"/>
      <c r="I11" s="1072" t="s">
        <v>541</v>
      </c>
      <c r="J11" s="1072">
        <f>PI()*(7.5*10^-3)^2</f>
        <v>1.7671458676442585E-4</v>
      </c>
      <c r="K11" s="1073">
        <v>0.03</v>
      </c>
      <c r="L11" s="1074">
        <v>8500</v>
      </c>
      <c r="M11" s="1074">
        <v>1</v>
      </c>
      <c r="N11" s="1068">
        <f>D11*E11</f>
        <v>0.10138999415608932</v>
      </c>
      <c r="O11" s="264"/>
    </row>
    <row r="12" spans="1:15" x14ac:dyDescent="0.25">
      <c r="A12" s="1075"/>
      <c r="B12" s="1076"/>
      <c r="C12" s="1076"/>
      <c r="D12" s="1076"/>
      <c r="E12" s="1076"/>
      <c r="F12" s="1076"/>
      <c r="G12" s="1076"/>
      <c r="H12" s="1076"/>
      <c r="I12" s="1076"/>
      <c r="J12" s="1076"/>
      <c r="K12" s="1076"/>
      <c r="L12" s="1076"/>
      <c r="M12" s="1077" t="s">
        <v>18</v>
      </c>
      <c r="N12" s="1078">
        <f>N11</f>
        <v>0.10138999415608932</v>
      </c>
      <c r="O12" s="264"/>
    </row>
    <row r="13" spans="1:15" x14ac:dyDescent="0.25">
      <c r="A13" s="1063"/>
      <c r="B13" s="1055"/>
      <c r="C13" s="1055"/>
      <c r="D13" s="1055"/>
      <c r="E13" s="1055"/>
      <c r="F13" s="1055"/>
      <c r="G13" s="1055"/>
      <c r="H13" s="1055"/>
      <c r="I13" s="1055"/>
      <c r="J13" s="1055"/>
      <c r="K13" s="1055"/>
      <c r="L13" s="1055"/>
      <c r="M13" s="1055"/>
      <c r="N13" s="1055"/>
      <c r="O13" s="264"/>
    </row>
    <row r="14" spans="1:15" x14ac:dyDescent="0.25">
      <c r="A14" s="1161" t="s">
        <v>14</v>
      </c>
      <c r="B14" s="1162" t="s">
        <v>31</v>
      </c>
      <c r="C14" s="1162" t="s">
        <v>20</v>
      </c>
      <c r="D14" s="1162" t="s">
        <v>21</v>
      </c>
      <c r="E14" s="1162" t="s">
        <v>32</v>
      </c>
      <c r="F14" s="1162" t="s">
        <v>17</v>
      </c>
      <c r="G14" s="1162" t="s">
        <v>33</v>
      </c>
      <c r="H14" s="1162" t="s">
        <v>34</v>
      </c>
      <c r="I14" s="1162" t="s">
        <v>18</v>
      </c>
      <c r="J14" s="1076"/>
      <c r="K14" s="1076"/>
      <c r="L14" s="1076"/>
      <c r="M14" s="1076"/>
      <c r="N14" s="1076"/>
      <c r="O14" s="264"/>
    </row>
    <row r="15" spans="1:15" x14ac:dyDescent="0.25">
      <c r="A15" s="1163">
        <v>10</v>
      </c>
      <c r="B15" s="1164" t="s">
        <v>39</v>
      </c>
      <c r="C15" s="1164"/>
      <c r="D15" s="1165">
        <v>1.3</v>
      </c>
      <c r="E15" s="1164" t="s">
        <v>35</v>
      </c>
      <c r="F15" s="1164">
        <v>1</v>
      </c>
      <c r="G15" s="1164" t="s">
        <v>378</v>
      </c>
      <c r="H15" s="1164">
        <v>0.5</v>
      </c>
      <c r="I15" s="1165">
        <f>D15*H15*F15</f>
        <v>0.65</v>
      </c>
      <c r="J15" s="1055"/>
      <c r="K15" s="1055"/>
      <c r="L15" s="1055"/>
      <c r="M15" s="1055"/>
      <c r="N15" s="1055"/>
      <c r="O15" s="264"/>
    </row>
    <row r="16" spans="1:15" x14ac:dyDescent="0.25">
      <c r="A16" s="1163">
        <v>20</v>
      </c>
      <c r="B16" s="1164" t="s">
        <v>334</v>
      </c>
      <c r="C16" s="1164" t="s">
        <v>335</v>
      </c>
      <c r="D16" s="1165">
        <v>0.04</v>
      </c>
      <c r="E16" s="1164" t="s">
        <v>93</v>
      </c>
      <c r="F16" s="1164">
        <v>1.04</v>
      </c>
      <c r="G16" s="1164" t="s">
        <v>339</v>
      </c>
      <c r="H16" s="1164">
        <v>3</v>
      </c>
      <c r="I16" s="1165">
        <f>D16*F16*H16</f>
        <v>0.12480000000000002</v>
      </c>
      <c r="J16" s="1055"/>
      <c r="K16" s="1055"/>
      <c r="L16" s="1055"/>
      <c r="M16" s="1055"/>
      <c r="N16" s="1055"/>
      <c r="O16" s="264"/>
    </row>
    <row r="17" spans="1:15" x14ac:dyDescent="0.25">
      <c r="A17" s="1163">
        <v>30</v>
      </c>
      <c r="B17" s="1096" t="s">
        <v>542</v>
      </c>
      <c r="C17" s="1166" t="s">
        <v>196</v>
      </c>
      <c r="D17" s="1165">
        <v>0.35</v>
      </c>
      <c r="E17" s="1096" t="s">
        <v>198</v>
      </c>
      <c r="F17" s="1096">
        <v>2</v>
      </c>
      <c r="G17" s="1096" t="s">
        <v>543</v>
      </c>
      <c r="H17" s="1167">
        <v>1</v>
      </c>
      <c r="I17" s="1165">
        <f>D17*F17*H17</f>
        <v>0.7</v>
      </c>
      <c r="J17" s="1055"/>
      <c r="K17" s="1055"/>
      <c r="L17" s="1055"/>
      <c r="M17" s="1055"/>
      <c r="N17" s="1055"/>
      <c r="O17" s="264"/>
    </row>
    <row r="18" spans="1:15" ht="14.45" customHeight="1" x14ac:dyDescent="0.25">
      <c r="A18" s="1163">
        <v>40</v>
      </c>
      <c r="B18" s="1089" t="s">
        <v>412</v>
      </c>
      <c r="C18" s="1100" t="s">
        <v>411</v>
      </c>
      <c r="D18" s="1088">
        <v>0.65</v>
      </c>
      <c r="E18" s="1089" t="s">
        <v>32</v>
      </c>
      <c r="F18" s="1101">
        <v>1</v>
      </c>
      <c r="G18" s="1096" t="s">
        <v>378</v>
      </c>
      <c r="H18" s="1164">
        <v>0.5</v>
      </c>
      <c r="I18" s="1099">
        <f t="shared" ref="I18" si="0">D18*F18*H18</f>
        <v>0.32500000000000001</v>
      </c>
      <c r="J18" s="511"/>
      <c r="K18" s="511"/>
      <c r="L18" s="511"/>
      <c r="M18" s="511"/>
      <c r="N18" s="511"/>
      <c r="O18" s="911"/>
    </row>
    <row r="19" spans="1:15" x14ac:dyDescent="0.25">
      <c r="A19" s="1163">
        <v>50</v>
      </c>
      <c r="B19" s="1096" t="s">
        <v>542</v>
      </c>
      <c r="C19" s="1166" t="s">
        <v>196</v>
      </c>
      <c r="D19" s="1165">
        <v>0.35</v>
      </c>
      <c r="E19" s="1096" t="s">
        <v>198</v>
      </c>
      <c r="F19" s="1096">
        <v>2</v>
      </c>
      <c r="G19" s="1096" t="s">
        <v>543</v>
      </c>
      <c r="H19" s="1167">
        <v>1</v>
      </c>
      <c r="I19" s="1165">
        <f>D19*F19*H19</f>
        <v>0.7</v>
      </c>
      <c r="J19" s="1055"/>
      <c r="K19" s="1055"/>
      <c r="L19" s="1055"/>
      <c r="M19" s="1055"/>
      <c r="N19" s="1055"/>
      <c r="O19" s="264"/>
    </row>
    <row r="20" spans="1:15" x14ac:dyDescent="0.25">
      <c r="A20" s="1075"/>
      <c r="B20" s="1076"/>
      <c r="C20" s="1076"/>
      <c r="D20" s="1076"/>
      <c r="E20" s="1076"/>
      <c r="F20" s="1076"/>
      <c r="G20" s="1076"/>
      <c r="H20" s="1077" t="s">
        <v>18</v>
      </c>
      <c r="I20" s="1080">
        <f>I15+I17</f>
        <v>1.35</v>
      </c>
      <c r="J20" s="1076"/>
      <c r="K20" s="1076"/>
      <c r="L20" s="1076"/>
      <c r="M20" s="1076"/>
      <c r="N20" s="1076"/>
      <c r="O20" s="264"/>
    </row>
    <row r="21" spans="1:15" x14ac:dyDescent="0.25">
      <c r="A21" s="1063"/>
      <c r="B21" s="1055"/>
      <c r="C21" s="1055"/>
      <c r="D21" s="1055"/>
      <c r="E21" s="1055"/>
      <c r="F21" s="1055"/>
      <c r="G21" s="1055"/>
      <c r="H21" s="1057"/>
      <c r="I21" s="1059"/>
      <c r="J21" s="1055"/>
      <c r="K21" s="1055"/>
      <c r="L21" s="1055"/>
      <c r="M21" s="1055"/>
      <c r="N21" s="1055"/>
      <c r="O21" s="264"/>
    </row>
    <row r="22" spans="1:15" ht="15.75" thickBot="1" x14ac:dyDescent="0.3">
      <c r="A22" s="1081"/>
      <c r="B22" s="1082"/>
      <c r="C22" s="1082"/>
      <c r="D22" s="1082"/>
      <c r="E22" s="1082"/>
      <c r="F22" s="1082"/>
      <c r="G22" s="1082"/>
      <c r="H22" s="1082"/>
      <c r="I22" s="1082"/>
      <c r="J22" s="1082"/>
      <c r="K22" s="1082"/>
      <c r="L22" s="1082"/>
      <c r="M22" s="1082"/>
      <c r="N22" s="1082"/>
      <c r="O22" s="286"/>
    </row>
    <row r="23" spans="1:15" x14ac:dyDescent="0.25">
      <c r="A23" s="1085"/>
      <c r="B23" s="1085"/>
      <c r="C23" s="1085"/>
      <c r="D23" s="1085"/>
      <c r="E23" s="1085"/>
      <c r="F23" s="1085"/>
      <c r="G23" s="1085"/>
      <c r="H23" s="1085"/>
      <c r="I23" s="1085"/>
      <c r="J23" s="1085"/>
      <c r="K23" s="1085"/>
      <c r="L23" s="1085"/>
      <c r="M23" s="1085"/>
      <c r="N23" s="1085"/>
    </row>
    <row r="24" spans="1:15" x14ac:dyDescent="0.25">
      <c r="A24" s="1085"/>
      <c r="B24" s="1085"/>
      <c r="C24" s="1085"/>
      <c r="D24" s="1085"/>
      <c r="E24" s="1085"/>
      <c r="F24" s="1085"/>
      <c r="G24" s="1085"/>
      <c r="H24" s="1085"/>
      <c r="I24" s="1085"/>
      <c r="J24" s="1085"/>
      <c r="K24" s="1085"/>
      <c r="L24" s="1085"/>
      <c r="M24" s="1085"/>
      <c r="N24" s="1085"/>
    </row>
    <row r="25" spans="1:15" x14ac:dyDescent="0.25">
      <c r="A25" s="1085"/>
      <c r="B25" s="1085"/>
      <c r="C25" s="1085"/>
      <c r="D25" s="1085"/>
      <c r="E25" s="1085"/>
      <c r="F25" s="1085"/>
      <c r="G25" s="1085"/>
      <c r="H25" s="1085"/>
      <c r="I25" s="1085"/>
      <c r="J25" s="1085"/>
      <c r="K25" s="1085"/>
      <c r="L25" s="1085"/>
      <c r="M25" s="1085"/>
      <c r="N25" s="1085"/>
    </row>
    <row r="26" spans="1:15" x14ac:dyDescent="0.25">
      <c r="A26" s="16"/>
      <c r="B26" s="1085"/>
      <c r="C26" s="1085"/>
      <c r="D26" s="1085"/>
      <c r="E26" s="1085"/>
      <c r="F26" s="1085"/>
      <c r="G26" s="1085"/>
      <c r="H26" s="1085"/>
      <c r="I26" s="1085"/>
      <c r="J26" s="1085"/>
      <c r="K26" s="1085"/>
      <c r="L26" s="1085"/>
      <c r="M26" s="1085"/>
      <c r="N26" s="1085"/>
    </row>
    <row r="27" spans="1:15" x14ac:dyDescent="0.25">
      <c r="A27" s="16"/>
      <c r="B27" s="1085"/>
      <c r="C27" s="1085"/>
      <c r="D27" s="1085"/>
      <c r="E27" s="1085"/>
      <c r="F27" s="1085"/>
      <c r="G27" s="1085"/>
      <c r="H27" s="1085"/>
      <c r="I27" s="1085"/>
      <c r="J27" s="1085"/>
      <c r="K27" s="1085"/>
      <c r="L27" s="1085"/>
      <c r="M27" s="1085"/>
      <c r="N27" s="1085"/>
    </row>
    <row r="28" spans="1:15" x14ac:dyDescent="0.25">
      <c r="A28" s="87"/>
      <c r="B28" s="1085"/>
      <c r="C28" s="1085"/>
      <c r="D28" s="1085"/>
      <c r="E28" s="1085"/>
      <c r="F28" s="1085"/>
      <c r="G28" s="1085"/>
      <c r="H28" s="1085"/>
      <c r="I28" s="1085"/>
      <c r="J28" s="1085"/>
      <c r="K28" s="1085"/>
      <c r="L28" s="1085"/>
      <c r="M28" s="1085"/>
      <c r="N28" s="1085"/>
    </row>
    <row r="29" spans="1:15" x14ac:dyDescent="0.25">
      <c r="A29" s="18"/>
      <c r="B29" s="1085"/>
      <c r="C29" s="1085"/>
      <c r="D29" s="1085"/>
      <c r="E29" s="1085"/>
      <c r="F29" s="1085"/>
      <c r="G29" s="1085"/>
      <c r="H29" s="1085"/>
      <c r="I29" s="1085"/>
      <c r="J29" s="1085"/>
      <c r="K29" s="1085"/>
      <c r="L29" s="1085"/>
      <c r="M29" s="1085"/>
      <c r="N29" s="1085"/>
    </row>
    <row r="30" spans="1:15" x14ac:dyDescent="0.25">
      <c r="A30" s="28"/>
      <c r="B30" s="1085"/>
      <c r="C30" s="1085"/>
      <c r="D30" s="1085"/>
      <c r="E30" s="1085"/>
      <c r="F30" s="1085"/>
      <c r="G30" s="1085"/>
      <c r="H30" s="1085"/>
      <c r="I30" s="1085"/>
      <c r="J30" s="1085"/>
      <c r="K30" s="1085"/>
      <c r="L30" s="1085"/>
      <c r="M30" s="1085"/>
      <c r="N30" s="1085"/>
    </row>
    <row r="31" spans="1:15" x14ac:dyDescent="0.25">
      <c r="A31" s="16"/>
      <c r="B31" s="1085"/>
      <c r="C31" s="1085"/>
      <c r="D31" s="1085"/>
      <c r="E31" s="1085"/>
      <c r="F31" s="1085"/>
      <c r="G31" s="1085"/>
      <c r="H31" s="1085"/>
      <c r="I31" s="1085"/>
      <c r="J31" s="1085"/>
      <c r="K31" s="1085"/>
      <c r="L31" s="1085"/>
      <c r="M31" s="1085"/>
      <c r="N31" s="1085"/>
    </row>
    <row r="32" spans="1:15" x14ac:dyDescent="0.25">
      <c r="A32" s="16"/>
      <c r="B32" s="1085"/>
      <c r="C32" s="1085"/>
      <c r="D32" s="1085"/>
      <c r="E32" s="1085"/>
      <c r="F32" s="1085"/>
      <c r="G32" s="1085"/>
      <c r="H32" s="1085"/>
      <c r="I32" s="1085"/>
      <c r="J32" s="1085"/>
      <c r="K32" s="1085"/>
      <c r="L32" s="1085"/>
      <c r="M32" s="1085"/>
      <c r="N32" s="1085"/>
    </row>
    <row r="33" spans="1:14" x14ac:dyDescent="0.25">
      <c r="A33" s="1085"/>
      <c r="B33" s="1085"/>
      <c r="C33" s="1085"/>
      <c r="D33" s="1085"/>
      <c r="E33" s="1085"/>
      <c r="F33" s="1085"/>
      <c r="G33" s="1085"/>
      <c r="H33" s="1085"/>
      <c r="I33" s="1085"/>
      <c r="J33" s="1085"/>
      <c r="K33" s="1085"/>
      <c r="L33" s="1085"/>
      <c r="M33" s="1085"/>
      <c r="N33" s="1085"/>
    </row>
    <row r="34" spans="1:14" x14ac:dyDescent="0.25">
      <c r="A34" s="1085"/>
      <c r="B34" s="1085"/>
      <c r="C34" s="1085"/>
      <c r="D34" s="1085"/>
      <c r="E34" s="1085"/>
      <c r="F34" s="1085"/>
      <c r="G34" s="1085"/>
      <c r="H34" s="1085"/>
      <c r="I34" s="1085"/>
      <c r="J34" s="1085"/>
      <c r="K34" s="1085"/>
      <c r="L34" s="1085"/>
      <c r="M34" s="1085"/>
      <c r="N34" s="1085"/>
    </row>
    <row r="35" spans="1:14" x14ac:dyDescent="0.25">
      <c r="A35" s="1085"/>
      <c r="B35" s="1085"/>
      <c r="C35" s="1085"/>
      <c r="D35" s="1085"/>
      <c r="E35" s="1085"/>
      <c r="F35" s="1085"/>
      <c r="G35" s="1085"/>
      <c r="H35" s="1085"/>
      <c r="I35" s="1085"/>
      <c r="J35" s="1085"/>
      <c r="K35" s="1085"/>
      <c r="L35" s="1085"/>
      <c r="M35" s="1085"/>
      <c r="N35" s="1085"/>
    </row>
    <row r="36" spans="1:14" x14ac:dyDescent="0.25">
      <c r="A36" s="1085"/>
      <c r="B36" s="1085"/>
      <c r="C36" s="1085"/>
      <c r="D36" s="1085"/>
      <c r="E36" s="1085"/>
      <c r="F36" s="1085"/>
      <c r="G36" s="1085"/>
      <c r="H36" s="1085"/>
      <c r="I36" s="1085"/>
      <c r="J36" s="1085"/>
      <c r="K36" s="1085"/>
      <c r="L36" s="1085"/>
      <c r="M36" s="1085"/>
      <c r="N36" s="1085"/>
    </row>
    <row r="37" spans="1:14" x14ac:dyDescent="0.25">
      <c r="A37" s="1085"/>
      <c r="B37" s="1085"/>
      <c r="C37" s="1085"/>
      <c r="D37" s="1085"/>
      <c r="E37" s="1085"/>
      <c r="F37" s="1085"/>
      <c r="G37" s="1085"/>
      <c r="H37" s="1085"/>
      <c r="I37" s="1085"/>
      <c r="J37" s="1085"/>
      <c r="K37" s="1085"/>
      <c r="L37" s="1085"/>
      <c r="M37" s="1085"/>
      <c r="N37" s="1085"/>
    </row>
    <row r="38" spans="1:14" x14ac:dyDescent="0.25">
      <c r="A38" s="1085"/>
      <c r="B38" s="1085"/>
      <c r="C38" s="1085"/>
      <c r="D38" s="1085"/>
      <c r="E38" s="1085"/>
      <c r="F38" s="1085"/>
      <c r="G38" s="1085"/>
      <c r="H38" s="1085"/>
      <c r="I38" s="1085"/>
      <c r="J38" s="1085"/>
      <c r="K38" s="1085"/>
      <c r="L38" s="1085"/>
      <c r="M38" s="1085"/>
      <c r="N38" s="1085"/>
    </row>
    <row r="39" spans="1:14" x14ac:dyDescent="0.25">
      <c r="A39" s="1085"/>
      <c r="B39" s="1085"/>
      <c r="C39" s="1085"/>
      <c r="D39" s="1085"/>
      <c r="E39" s="1085"/>
      <c r="F39" s="1085"/>
      <c r="G39" s="1085"/>
      <c r="H39" s="1085"/>
      <c r="I39" s="1085"/>
      <c r="J39" s="1085"/>
      <c r="K39" s="1085"/>
      <c r="L39" s="1085"/>
      <c r="M39" s="1085"/>
      <c r="N39" s="1085"/>
    </row>
    <row r="40" spans="1:14" x14ac:dyDescent="0.25">
      <c r="A40" s="1085"/>
      <c r="B40" s="1085"/>
      <c r="C40" s="1085"/>
      <c r="D40" s="1085"/>
      <c r="E40" s="1085"/>
      <c r="F40" s="1085"/>
      <c r="G40" s="1085"/>
      <c r="H40" s="1085"/>
      <c r="I40" s="1085"/>
      <c r="J40" s="1085"/>
      <c r="K40" s="1085"/>
      <c r="L40" s="1085"/>
      <c r="M40" s="1085"/>
      <c r="N40" s="1085"/>
    </row>
    <row r="41" spans="1:14" x14ac:dyDescent="0.25">
      <c r="A41" s="1085"/>
      <c r="B41" s="1085"/>
      <c r="C41" s="1085"/>
      <c r="D41" s="1085"/>
      <c r="E41" s="1085"/>
      <c r="F41" s="1085"/>
      <c r="G41" s="1085"/>
      <c r="H41" s="1085"/>
      <c r="I41" s="1085"/>
      <c r="J41" s="1085"/>
      <c r="K41" s="1085"/>
      <c r="L41" s="1085"/>
      <c r="M41" s="1085"/>
      <c r="N41" s="1085"/>
    </row>
    <row r="42" spans="1:14" x14ac:dyDescent="0.25">
      <c r="A42" s="1085"/>
      <c r="B42" s="1085"/>
      <c r="C42" s="1085"/>
      <c r="D42" s="1085"/>
      <c r="E42" s="1085"/>
      <c r="F42" s="1085"/>
      <c r="G42" s="1085"/>
      <c r="H42" s="1085"/>
      <c r="I42" s="1085"/>
      <c r="J42" s="1085"/>
      <c r="K42" s="1085"/>
      <c r="L42" s="1085"/>
      <c r="M42" s="1085"/>
      <c r="N42" s="1085"/>
    </row>
    <row r="43" spans="1:14" x14ac:dyDescent="0.25">
      <c r="A43" s="1085"/>
      <c r="B43" s="1085"/>
      <c r="C43" s="1085"/>
      <c r="D43" s="1085"/>
      <c r="E43" s="1085"/>
      <c r="F43" s="1085"/>
      <c r="G43" s="1085"/>
      <c r="H43" s="1085"/>
      <c r="I43" s="1085"/>
      <c r="J43" s="1085"/>
      <c r="K43" s="1085"/>
      <c r="L43" s="1085"/>
      <c r="M43" s="1085"/>
      <c r="N43" s="1085"/>
    </row>
    <row r="44" spans="1:14" x14ac:dyDescent="0.25">
      <c r="A44" s="1085"/>
      <c r="B44" s="1085"/>
      <c r="C44" s="1085"/>
      <c r="D44" s="1085"/>
      <c r="E44" s="1085"/>
      <c r="F44" s="1085"/>
      <c r="G44" s="1085"/>
      <c r="H44" s="1085"/>
      <c r="I44" s="1085"/>
      <c r="J44" s="1085"/>
      <c r="K44" s="1085"/>
      <c r="L44" s="1085"/>
      <c r="M44" s="1085"/>
      <c r="N44" s="1085"/>
    </row>
    <row r="45" spans="1:14" x14ac:dyDescent="0.25">
      <c r="A45" s="1085"/>
      <c r="B45" s="1085"/>
      <c r="C45" s="1085"/>
      <c r="D45" s="1085"/>
      <c r="E45" s="1085"/>
      <c r="F45" s="1085"/>
      <c r="G45" s="1085"/>
      <c r="H45" s="1085"/>
      <c r="I45" s="1085"/>
      <c r="J45" s="1085"/>
      <c r="K45" s="1085"/>
      <c r="L45" s="1085"/>
      <c r="M45" s="1085"/>
      <c r="N45" s="1085"/>
    </row>
    <row r="46" spans="1:14" x14ac:dyDescent="0.25">
      <c r="A46" s="1085"/>
      <c r="B46" s="1085"/>
      <c r="C46" s="1085"/>
      <c r="D46" s="1085"/>
      <c r="E46" s="1085"/>
      <c r="F46" s="1085"/>
      <c r="G46" s="1085"/>
      <c r="H46" s="1085"/>
      <c r="I46" s="1085"/>
      <c r="J46" s="1085"/>
      <c r="K46" s="1085"/>
      <c r="L46" s="1085"/>
      <c r="M46" s="1085"/>
      <c r="N46" s="1085"/>
    </row>
    <row r="47" spans="1:14" x14ac:dyDescent="0.25">
      <c r="A47" s="1085"/>
      <c r="B47" s="1085"/>
      <c r="C47" s="1085"/>
      <c r="D47" s="1085"/>
      <c r="E47" s="1085"/>
      <c r="F47" s="1085"/>
      <c r="G47" s="1085"/>
      <c r="H47" s="1085"/>
      <c r="I47" s="1085"/>
      <c r="J47" s="1085"/>
      <c r="K47" s="1085"/>
      <c r="L47" s="1085"/>
      <c r="M47" s="1085"/>
      <c r="N47" s="1085"/>
    </row>
    <row r="48" spans="1:14" x14ac:dyDescent="0.25">
      <c r="A48" s="1085"/>
      <c r="B48" s="1085"/>
      <c r="C48" s="1085"/>
      <c r="D48" s="1085"/>
      <c r="E48" s="1085"/>
      <c r="F48" s="1085"/>
      <c r="G48" s="1085"/>
      <c r="H48" s="1085"/>
      <c r="I48" s="1085"/>
      <c r="J48" s="1085"/>
      <c r="K48" s="1085"/>
      <c r="L48" s="1085"/>
      <c r="M48" s="1085"/>
      <c r="N48" s="1085"/>
    </row>
    <row r="49" spans="1:14" x14ac:dyDescent="0.25">
      <c r="A49" s="1085"/>
      <c r="B49" s="1085"/>
      <c r="C49" s="1085"/>
      <c r="D49" s="1085"/>
      <c r="E49" s="1085"/>
      <c r="F49" s="1085"/>
      <c r="G49" s="1085"/>
      <c r="H49" s="1085"/>
      <c r="I49" s="1085"/>
      <c r="J49" s="1085"/>
      <c r="K49" s="1085"/>
      <c r="L49" s="1085"/>
      <c r="M49" s="1085"/>
      <c r="N49" s="1085"/>
    </row>
    <row r="50" spans="1:14" x14ac:dyDescent="0.25">
      <c r="A50" s="1085"/>
      <c r="B50" s="1085"/>
      <c r="C50" s="1085"/>
      <c r="D50" s="1085"/>
      <c r="E50" s="1085"/>
      <c r="F50" s="1085"/>
      <c r="G50" s="1085"/>
      <c r="H50" s="1085"/>
      <c r="I50" s="1085"/>
      <c r="J50" s="1085"/>
      <c r="K50" s="1085"/>
      <c r="L50" s="1085"/>
      <c r="M50" s="1085"/>
      <c r="N50" s="1085"/>
    </row>
    <row r="51" spans="1:14" x14ac:dyDescent="0.25">
      <c r="A51" s="1085"/>
      <c r="B51" s="1085"/>
      <c r="C51" s="1085"/>
      <c r="D51" s="1085"/>
      <c r="E51" s="1085"/>
      <c r="F51" s="1085"/>
      <c r="G51" s="1085"/>
      <c r="H51" s="1085"/>
      <c r="I51" s="1085"/>
      <c r="J51" s="1085"/>
      <c r="K51" s="1085"/>
      <c r="L51" s="1085"/>
      <c r="M51" s="1085"/>
      <c r="N51" s="1085"/>
    </row>
    <row r="52" spans="1:14" x14ac:dyDescent="0.25">
      <c r="A52" s="1085"/>
      <c r="B52" s="1085"/>
      <c r="C52" s="1085"/>
      <c r="D52" s="1085"/>
      <c r="E52" s="1085"/>
      <c r="F52" s="1085"/>
      <c r="G52" s="1085"/>
      <c r="H52" s="1085"/>
      <c r="I52" s="1085"/>
      <c r="J52" s="1085"/>
      <c r="K52" s="1085"/>
      <c r="L52" s="1085"/>
      <c r="M52" s="1085"/>
      <c r="N52" s="1085"/>
    </row>
    <row r="53" spans="1:14" x14ac:dyDescent="0.25">
      <c r="A53" s="1085"/>
      <c r="B53" s="1085"/>
      <c r="C53" s="1085"/>
      <c r="D53" s="1085"/>
      <c r="E53" s="1085"/>
      <c r="F53" s="1085"/>
      <c r="G53" s="1085"/>
      <c r="H53" s="1085"/>
      <c r="I53" s="1085"/>
      <c r="J53" s="1085"/>
      <c r="K53" s="1085"/>
      <c r="L53" s="1085"/>
      <c r="M53" s="1085"/>
      <c r="N53" s="1085"/>
    </row>
    <row r="54" spans="1:14" x14ac:dyDescent="0.25">
      <c r="A54" s="1085"/>
      <c r="B54" s="1085"/>
      <c r="C54" s="1085"/>
      <c r="D54" s="1085"/>
      <c r="E54" s="1085"/>
      <c r="F54" s="1085"/>
      <c r="G54" s="1085"/>
      <c r="H54" s="1085"/>
      <c r="I54" s="1085"/>
      <c r="J54" s="1085"/>
      <c r="K54" s="1085"/>
      <c r="L54" s="1085"/>
      <c r="M54" s="1085"/>
      <c r="N54" s="1085"/>
    </row>
    <row r="55" spans="1:14" x14ac:dyDescent="0.25">
      <c r="A55" s="1085"/>
      <c r="B55" s="1085"/>
      <c r="C55" s="1085"/>
      <c r="D55" s="1085"/>
      <c r="E55" s="1085"/>
      <c r="F55" s="1085"/>
      <c r="G55" s="1085"/>
      <c r="H55" s="1085"/>
      <c r="I55" s="1085"/>
      <c r="J55" s="1085"/>
      <c r="K55" s="1085"/>
      <c r="L55" s="1085"/>
      <c r="M55" s="1085"/>
      <c r="N55" s="1085"/>
    </row>
    <row r="56" spans="1:14" x14ac:dyDescent="0.25">
      <c r="A56" s="1085"/>
      <c r="B56" s="1085"/>
      <c r="C56" s="1085"/>
      <c r="D56" s="1085"/>
      <c r="E56" s="1085"/>
      <c r="F56" s="1085"/>
      <c r="G56" s="1085"/>
      <c r="H56" s="1085"/>
      <c r="I56" s="1085"/>
      <c r="J56" s="1085"/>
      <c r="K56" s="1085"/>
      <c r="L56" s="1085"/>
      <c r="M56" s="1085"/>
      <c r="N56" s="1085"/>
    </row>
    <row r="57" spans="1:14" x14ac:dyDescent="0.25">
      <c r="A57" s="1085"/>
      <c r="B57" s="1085"/>
      <c r="C57" s="1085"/>
      <c r="D57" s="1085"/>
      <c r="E57" s="1085"/>
      <c r="F57" s="1085"/>
      <c r="G57" s="1085"/>
      <c r="H57" s="1085"/>
      <c r="I57" s="1085"/>
      <c r="J57" s="1085"/>
      <c r="K57" s="1085"/>
      <c r="L57" s="1085"/>
      <c r="M57" s="1085"/>
      <c r="N57" s="1085"/>
    </row>
    <row r="58" spans="1:14" x14ac:dyDescent="0.25">
      <c r="A58" s="1085"/>
      <c r="B58" s="1085"/>
      <c r="C58" s="1085"/>
      <c r="D58" s="1085"/>
      <c r="E58" s="1085"/>
      <c r="F58" s="1085"/>
      <c r="G58" s="1085"/>
      <c r="H58" s="1085"/>
      <c r="I58" s="1085"/>
      <c r="J58" s="1085"/>
      <c r="K58" s="1085"/>
      <c r="L58" s="1085"/>
      <c r="M58" s="1085"/>
      <c r="N58" s="1085"/>
    </row>
    <row r="59" spans="1:14" x14ac:dyDescent="0.25">
      <c r="A59" s="1085"/>
      <c r="B59" s="1085"/>
      <c r="C59" s="1085"/>
      <c r="D59" s="1085"/>
      <c r="E59" s="1085"/>
      <c r="F59" s="1085"/>
      <c r="G59" s="1085"/>
      <c r="H59" s="1085"/>
      <c r="I59" s="1085"/>
      <c r="J59" s="1085"/>
      <c r="K59" s="1085"/>
      <c r="L59" s="1085"/>
      <c r="M59" s="1085"/>
      <c r="N59" s="1085"/>
    </row>
    <row r="60" spans="1:14" x14ac:dyDescent="0.25">
      <c r="A60" s="1085"/>
      <c r="B60" s="1085"/>
      <c r="C60" s="1085"/>
      <c r="D60" s="1085"/>
      <c r="E60" s="1085"/>
      <c r="F60" s="1085"/>
      <c r="G60" s="1085"/>
      <c r="H60" s="1085"/>
      <c r="I60" s="1085"/>
      <c r="J60" s="1085"/>
      <c r="K60" s="1085"/>
      <c r="L60" s="1085"/>
      <c r="M60" s="1085"/>
      <c r="N60" s="1085"/>
    </row>
    <row r="61" spans="1:14" x14ac:dyDescent="0.25">
      <c r="A61" s="1085"/>
      <c r="B61" s="1085"/>
      <c r="C61" s="1085"/>
      <c r="D61" s="1085"/>
      <c r="E61" s="1085"/>
      <c r="F61" s="1085"/>
      <c r="G61" s="1085"/>
      <c r="H61" s="1085"/>
      <c r="I61" s="1085"/>
      <c r="J61" s="1085"/>
      <c r="K61" s="1085"/>
      <c r="L61" s="1085"/>
      <c r="M61" s="1085"/>
      <c r="N61" s="1085"/>
    </row>
    <row r="62" spans="1:14" x14ac:dyDescent="0.25">
      <c r="A62" s="1085"/>
      <c r="B62" s="1085"/>
      <c r="C62" s="1085"/>
      <c r="D62" s="1085"/>
      <c r="E62" s="1085"/>
      <c r="F62" s="1085"/>
      <c r="G62" s="1085"/>
      <c r="H62" s="1085"/>
      <c r="I62" s="1085"/>
      <c r="J62" s="1085"/>
      <c r="K62" s="1085"/>
      <c r="L62" s="1085"/>
      <c r="M62" s="1085"/>
      <c r="N62" s="1085"/>
    </row>
    <row r="63" spans="1:14" x14ac:dyDescent="0.25">
      <c r="A63" s="1085"/>
      <c r="B63" s="1085"/>
      <c r="C63" s="1085"/>
      <c r="D63" s="1085"/>
      <c r="E63" s="1085"/>
      <c r="F63" s="1085"/>
      <c r="G63" s="1085"/>
      <c r="H63" s="1085"/>
      <c r="I63" s="1085"/>
      <c r="J63" s="1085"/>
      <c r="K63" s="1085"/>
      <c r="L63" s="1085"/>
      <c r="M63" s="1085"/>
      <c r="N63" s="1085"/>
    </row>
    <row r="64" spans="1:14" x14ac:dyDescent="0.25">
      <c r="A64" s="1085"/>
      <c r="B64" s="1085"/>
      <c r="C64" s="1085"/>
      <c r="D64" s="1085"/>
      <c r="E64" s="1085"/>
      <c r="F64" s="1085"/>
      <c r="G64" s="1085"/>
      <c r="H64" s="1085"/>
      <c r="I64" s="1085"/>
      <c r="J64" s="1085"/>
      <c r="K64" s="1085"/>
      <c r="L64" s="1085"/>
      <c r="M64" s="1085"/>
      <c r="N64" s="1085"/>
    </row>
    <row r="65" spans="1:14" x14ac:dyDescent="0.25">
      <c r="A65" s="1085"/>
      <c r="B65" s="1085"/>
      <c r="C65" s="1085"/>
      <c r="D65" s="1085"/>
      <c r="E65" s="1085"/>
      <c r="F65" s="1085"/>
      <c r="G65" s="1085"/>
      <c r="H65" s="1085"/>
      <c r="I65" s="1085"/>
      <c r="J65" s="1085"/>
      <c r="K65" s="1085"/>
      <c r="L65" s="1085"/>
      <c r="M65" s="1085"/>
      <c r="N65" s="1085"/>
    </row>
    <row r="66" spans="1:14" x14ac:dyDescent="0.25">
      <c r="A66" s="1085"/>
      <c r="B66" s="1085"/>
      <c r="C66" s="1085"/>
      <c r="D66" s="1085"/>
      <c r="E66" s="1085"/>
      <c r="F66" s="1085"/>
      <c r="G66" s="1085"/>
      <c r="H66" s="1085"/>
      <c r="I66" s="1085"/>
      <c r="J66" s="1085"/>
      <c r="K66" s="1085"/>
      <c r="L66" s="1085"/>
      <c r="M66" s="1085"/>
      <c r="N66" s="1085"/>
    </row>
    <row r="67" spans="1:14" x14ac:dyDescent="0.25">
      <c r="A67" s="1085"/>
      <c r="B67" s="1085"/>
      <c r="C67" s="1085"/>
      <c r="D67" s="1085"/>
      <c r="E67" s="1085"/>
      <c r="F67" s="1085"/>
      <c r="G67" s="1085"/>
      <c r="H67" s="1085"/>
      <c r="I67" s="1085"/>
      <c r="J67" s="1085"/>
      <c r="K67" s="1085"/>
      <c r="L67" s="1085"/>
      <c r="M67" s="1085"/>
      <c r="N67" s="1085"/>
    </row>
    <row r="68" spans="1:14" x14ac:dyDescent="0.25">
      <c r="A68" s="1085"/>
      <c r="B68" s="1085"/>
      <c r="C68" s="1085"/>
      <c r="D68" s="1085"/>
      <c r="E68" s="1085"/>
      <c r="F68" s="1085"/>
      <c r="G68" s="1085"/>
      <c r="H68" s="1085"/>
      <c r="I68" s="1085"/>
      <c r="J68" s="1085"/>
      <c r="K68" s="1085"/>
      <c r="L68" s="1085"/>
      <c r="M68" s="1085"/>
      <c r="N68" s="1085"/>
    </row>
    <row r="69" spans="1:14" x14ac:dyDescent="0.25">
      <c r="A69" s="1085"/>
      <c r="B69" s="1085"/>
      <c r="C69" s="1085"/>
      <c r="D69" s="1085"/>
      <c r="E69" s="1085"/>
      <c r="F69" s="1085"/>
      <c r="G69" s="1085"/>
      <c r="H69" s="1085"/>
      <c r="I69" s="1085"/>
      <c r="J69" s="1085"/>
      <c r="K69" s="1085"/>
      <c r="L69" s="1085"/>
      <c r="M69" s="1085"/>
      <c r="N69" s="1085"/>
    </row>
    <row r="70" spans="1:14" x14ac:dyDescent="0.25">
      <c r="A70" s="1085"/>
      <c r="B70" s="1085"/>
      <c r="C70" s="1085"/>
      <c r="D70" s="1085"/>
      <c r="E70" s="1085"/>
      <c r="F70" s="1085"/>
      <c r="G70" s="1085"/>
      <c r="H70" s="1085"/>
      <c r="I70" s="1085"/>
      <c r="J70" s="1085"/>
      <c r="K70" s="1085"/>
      <c r="L70" s="1085"/>
      <c r="M70" s="1085"/>
      <c r="N70" s="1085"/>
    </row>
    <row r="71" spans="1:14" x14ac:dyDescent="0.25">
      <c r="A71" s="1085"/>
      <c r="B71" s="1085"/>
      <c r="C71" s="1085"/>
      <c r="D71" s="1085"/>
      <c r="E71" s="1085"/>
      <c r="F71" s="1085"/>
      <c r="G71" s="1085"/>
      <c r="H71" s="1085"/>
      <c r="I71" s="1085"/>
      <c r="J71" s="1085"/>
      <c r="K71" s="1085"/>
      <c r="L71" s="1085"/>
      <c r="M71" s="1085"/>
      <c r="N71" s="1085"/>
    </row>
    <row r="72" spans="1:14" x14ac:dyDescent="0.25">
      <c r="A72" s="1085"/>
      <c r="B72" s="1085"/>
      <c r="C72" s="1085"/>
      <c r="D72" s="1085"/>
      <c r="E72" s="1085"/>
      <c r="F72" s="1085"/>
      <c r="G72" s="1085"/>
      <c r="H72" s="1085"/>
      <c r="I72" s="1085"/>
      <c r="J72" s="1085"/>
      <c r="K72" s="1085"/>
      <c r="L72" s="1085"/>
      <c r="M72" s="1085"/>
      <c r="N72" s="1085"/>
    </row>
    <row r="73" spans="1:14" x14ac:dyDescent="0.25">
      <c r="A73" s="1085"/>
      <c r="B73" s="1085"/>
      <c r="C73" s="1085"/>
      <c r="D73" s="1085"/>
      <c r="E73" s="1085"/>
      <c r="F73" s="1085"/>
      <c r="G73" s="1085"/>
      <c r="H73" s="1085"/>
      <c r="I73" s="1085"/>
      <c r="J73" s="1085"/>
      <c r="K73" s="1085"/>
      <c r="L73" s="1085"/>
      <c r="M73" s="1085"/>
      <c r="N73" s="1085"/>
    </row>
    <row r="74" spans="1:14" x14ac:dyDescent="0.25">
      <c r="A74" s="1085"/>
      <c r="B74" s="1085"/>
      <c r="C74" s="1085"/>
      <c r="D74" s="1085"/>
      <c r="E74" s="1085"/>
      <c r="F74" s="1085"/>
      <c r="G74" s="1085"/>
      <c r="H74" s="1085"/>
      <c r="I74" s="1085"/>
      <c r="J74" s="1085"/>
      <c r="K74" s="1085"/>
      <c r="L74" s="1085"/>
      <c r="M74" s="1085"/>
      <c r="N74" s="1085"/>
    </row>
    <row r="75" spans="1:14" x14ac:dyDescent="0.25">
      <c r="A75" s="1085"/>
      <c r="B75" s="1085"/>
      <c r="C75" s="1085"/>
      <c r="D75" s="1085"/>
      <c r="E75" s="1085"/>
      <c r="F75" s="1085"/>
      <c r="G75" s="1085"/>
      <c r="H75" s="1085"/>
      <c r="I75" s="1085"/>
      <c r="J75" s="1085"/>
      <c r="K75" s="1085"/>
      <c r="L75" s="1085"/>
      <c r="M75" s="1085"/>
      <c r="N75" s="1085"/>
    </row>
    <row r="76" spans="1:14" x14ac:dyDescent="0.25">
      <c r="A76" s="1085"/>
      <c r="B76" s="1085"/>
      <c r="C76" s="1085"/>
      <c r="D76" s="1085"/>
      <c r="E76" s="1085"/>
      <c r="F76" s="1085"/>
      <c r="G76" s="1085"/>
      <c r="H76" s="1085"/>
      <c r="I76" s="1085"/>
      <c r="J76" s="1085"/>
      <c r="K76" s="1085"/>
      <c r="L76" s="1085"/>
      <c r="M76" s="1085"/>
      <c r="N76" s="1085"/>
    </row>
    <row r="77" spans="1:14" x14ac:dyDescent="0.25">
      <c r="A77" s="1085"/>
      <c r="B77" s="1085"/>
      <c r="C77" s="1085"/>
      <c r="D77" s="1085"/>
      <c r="E77" s="1085"/>
      <c r="F77" s="1085"/>
      <c r="G77" s="1085"/>
      <c r="H77" s="1085"/>
      <c r="I77" s="1085"/>
      <c r="J77" s="1085"/>
      <c r="K77" s="1085"/>
      <c r="L77" s="1085"/>
      <c r="M77" s="1085"/>
      <c r="N77" s="1085"/>
    </row>
    <row r="78" spans="1:14" x14ac:dyDescent="0.25">
      <c r="A78" s="1085"/>
      <c r="B78" s="1085"/>
      <c r="C78" s="1085"/>
      <c r="D78" s="1085"/>
      <c r="E78" s="1085"/>
      <c r="F78" s="1085"/>
      <c r="G78" s="1085"/>
      <c r="H78" s="1085"/>
      <c r="I78" s="1085"/>
      <c r="J78" s="1085"/>
      <c r="K78" s="1085"/>
      <c r="L78" s="1085"/>
      <c r="M78" s="1085"/>
      <c r="N78" s="1085"/>
    </row>
    <row r="79" spans="1:14" x14ac:dyDescent="0.25">
      <c r="A79" s="1085"/>
      <c r="B79" s="1085"/>
      <c r="C79" s="1085"/>
      <c r="D79" s="1085"/>
      <c r="E79" s="1085"/>
      <c r="F79" s="1085"/>
      <c r="G79" s="1085"/>
      <c r="H79" s="1085"/>
      <c r="I79" s="1085"/>
      <c r="J79" s="1085"/>
      <c r="K79" s="1085"/>
      <c r="L79" s="1085"/>
      <c r="M79" s="1085"/>
      <c r="N79" s="1085"/>
    </row>
    <row r="80" spans="1:14" x14ac:dyDescent="0.25">
      <c r="A80" s="1085"/>
      <c r="B80" s="1085"/>
      <c r="C80" s="1085"/>
      <c r="D80" s="1085"/>
      <c r="E80" s="1085"/>
      <c r="F80" s="1085"/>
      <c r="G80" s="1085"/>
      <c r="H80" s="1085"/>
      <c r="I80" s="1085"/>
      <c r="J80" s="1085"/>
      <c r="K80" s="1085"/>
      <c r="L80" s="1085"/>
      <c r="M80" s="1085"/>
      <c r="N80" s="1085"/>
    </row>
    <row r="81" spans="1:14" x14ac:dyDescent="0.25">
      <c r="A81" s="1085"/>
      <c r="B81" s="1085"/>
      <c r="C81" s="1085"/>
      <c r="D81" s="1085"/>
      <c r="E81" s="1085"/>
      <c r="F81" s="1085"/>
      <c r="G81" s="1085"/>
      <c r="H81" s="1085"/>
      <c r="I81" s="1085"/>
      <c r="J81" s="1085"/>
      <c r="K81" s="1085"/>
      <c r="L81" s="1085"/>
      <c r="M81" s="1085"/>
      <c r="N81" s="1085"/>
    </row>
    <row r="82" spans="1:14" x14ac:dyDescent="0.25">
      <c r="A82" s="1085"/>
      <c r="B82" s="1085"/>
      <c r="C82" s="1085"/>
      <c r="D82" s="1085"/>
      <c r="E82" s="1085"/>
      <c r="F82" s="1085"/>
      <c r="G82" s="1085"/>
      <c r="H82" s="1085"/>
      <c r="I82" s="1085"/>
      <c r="J82" s="1085"/>
      <c r="K82" s="1085"/>
      <c r="L82" s="1085"/>
      <c r="M82" s="1085"/>
      <c r="N82" s="1085"/>
    </row>
    <row r="83" spans="1:14" x14ac:dyDescent="0.25">
      <c r="A83" s="1085"/>
      <c r="B83" s="1085"/>
      <c r="C83" s="1085"/>
      <c r="D83" s="1085"/>
      <c r="E83" s="1085"/>
      <c r="F83" s="1085"/>
      <c r="G83" s="1085"/>
      <c r="H83" s="1085"/>
      <c r="I83" s="1085"/>
      <c r="J83" s="1085"/>
      <c r="K83" s="1085"/>
      <c r="L83" s="1085"/>
      <c r="M83" s="1085"/>
      <c r="N83" s="1085"/>
    </row>
    <row r="84" spans="1:14" x14ac:dyDescent="0.25">
      <c r="A84" s="1085"/>
      <c r="B84" s="1085"/>
      <c r="C84" s="1085"/>
      <c r="D84" s="1085"/>
      <c r="E84" s="1085"/>
      <c r="F84" s="1085"/>
      <c r="G84" s="1085"/>
      <c r="H84" s="1085"/>
      <c r="I84" s="1085"/>
      <c r="J84" s="1085"/>
      <c r="K84" s="1085"/>
      <c r="L84" s="1085"/>
      <c r="M84" s="1085"/>
      <c r="N84" s="1085"/>
    </row>
    <row r="85" spans="1:14" x14ac:dyDescent="0.25">
      <c r="A85" s="1085"/>
      <c r="B85" s="1085"/>
      <c r="C85" s="1085"/>
      <c r="D85" s="1085"/>
      <c r="E85" s="1085"/>
      <c r="F85" s="1085"/>
      <c r="G85" s="1085"/>
      <c r="H85" s="1085"/>
      <c r="I85" s="1085"/>
      <c r="J85" s="1085"/>
      <c r="K85" s="1085"/>
      <c r="L85" s="1085"/>
      <c r="M85" s="1085"/>
      <c r="N85" s="1085"/>
    </row>
    <row r="86" spans="1:14" x14ac:dyDescent="0.25">
      <c r="A86" s="1085"/>
      <c r="B86" s="1085"/>
      <c r="C86" s="1085"/>
      <c r="D86" s="1085"/>
      <c r="E86" s="1085"/>
      <c r="F86" s="1085"/>
      <c r="G86" s="1085"/>
      <c r="H86" s="1085"/>
      <c r="I86" s="1085"/>
      <c r="J86" s="1085"/>
      <c r="K86" s="1085"/>
      <c r="L86" s="1085"/>
      <c r="M86" s="1085"/>
      <c r="N86" s="1085"/>
    </row>
    <row r="87" spans="1:14" x14ac:dyDescent="0.25">
      <c r="A87" s="1085"/>
      <c r="B87" s="1085"/>
      <c r="C87" s="1085"/>
      <c r="D87" s="1085"/>
      <c r="E87" s="1085"/>
      <c r="F87" s="1085"/>
      <c r="G87" s="1085"/>
      <c r="H87" s="1085"/>
      <c r="I87" s="1085"/>
      <c r="J87" s="1085"/>
      <c r="K87" s="1085"/>
      <c r="L87" s="1085"/>
      <c r="M87" s="1085"/>
      <c r="N87" s="1085"/>
    </row>
    <row r="88" spans="1:14" x14ac:dyDescent="0.25">
      <c r="A88" s="1085"/>
      <c r="B88" s="1085"/>
      <c r="C88" s="1085"/>
      <c r="D88" s="1085"/>
      <c r="E88" s="1085"/>
      <c r="F88" s="1085"/>
      <c r="G88" s="1085"/>
      <c r="H88" s="1085"/>
      <c r="I88" s="1085"/>
      <c r="J88" s="1085"/>
      <c r="K88" s="1085"/>
      <c r="L88" s="1085"/>
      <c r="M88" s="1085"/>
      <c r="N88" s="1085"/>
    </row>
    <row r="89" spans="1:14" x14ac:dyDescent="0.25">
      <c r="A89" s="1085"/>
      <c r="B89" s="1085"/>
      <c r="C89" s="1085"/>
      <c r="D89" s="1085"/>
      <c r="E89" s="1085"/>
      <c r="F89" s="1085"/>
      <c r="G89" s="1085"/>
      <c r="H89" s="1085"/>
      <c r="I89" s="1085"/>
      <c r="J89" s="1085"/>
      <c r="K89" s="1085"/>
      <c r="L89" s="1085"/>
      <c r="M89" s="1085"/>
      <c r="N89" s="1085"/>
    </row>
    <row r="90" spans="1:14" x14ac:dyDescent="0.25">
      <c r="A90" s="1085"/>
      <c r="B90" s="1085"/>
      <c r="C90" s="1085"/>
      <c r="D90" s="1085"/>
      <c r="E90" s="1085"/>
      <c r="F90" s="1085"/>
      <c r="G90" s="1085"/>
      <c r="H90" s="1085"/>
      <c r="I90" s="1085"/>
      <c r="J90" s="1085"/>
      <c r="K90" s="1085"/>
      <c r="L90" s="1085"/>
      <c r="M90" s="1085"/>
      <c r="N90" s="1085"/>
    </row>
    <row r="91" spans="1:14" x14ac:dyDescent="0.25">
      <c r="A91" s="1085"/>
      <c r="B91" s="1085"/>
      <c r="C91" s="1085"/>
      <c r="D91" s="1085"/>
      <c r="E91" s="1085"/>
      <c r="F91" s="1085"/>
      <c r="G91" s="1085"/>
      <c r="H91" s="1085"/>
      <c r="I91" s="1085"/>
      <c r="J91" s="1085"/>
      <c r="K91" s="1085"/>
      <c r="L91" s="1085"/>
      <c r="M91" s="1085"/>
      <c r="N91" s="1085"/>
    </row>
    <row r="92" spans="1:14" x14ac:dyDescent="0.25">
      <c r="A92" s="1085"/>
      <c r="B92" s="1085"/>
      <c r="C92" s="1085"/>
      <c r="D92" s="1085"/>
      <c r="E92" s="1085"/>
      <c r="F92" s="1085"/>
      <c r="G92" s="1085"/>
      <c r="H92" s="1085"/>
      <c r="I92" s="1085"/>
      <c r="J92" s="1085"/>
      <c r="K92" s="1085"/>
      <c r="L92" s="1085"/>
      <c r="M92" s="1085"/>
      <c r="N92" s="1085"/>
    </row>
    <row r="93" spans="1:14" x14ac:dyDescent="0.25">
      <c r="A93" s="1085"/>
      <c r="B93" s="1085"/>
      <c r="C93" s="1085"/>
      <c r="D93" s="1085"/>
      <c r="E93" s="1085"/>
      <c r="F93" s="1085"/>
      <c r="G93" s="1085"/>
      <c r="H93" s="1085"/>
      <c r="I93" s="1085"/>
      <c r="J93" s="1085"/>
      <c r="K93" s="1085"/>
      <c r="L93" s="1085"/>
      <c r="M93" s="1085"/>
      <c r="N93" s="1085"/>
    </row>
    <row r="94" spans="1:14" x14ac:dyDescent="0.25">
      <c r="A94" s="1085"/>
      <c r="B94" s="1085"/>
      <c r="C94" s="1085"/>
      <c r="D94" s="1085"/>
      <c r="E94" s="1085"/>
      <c r="F94" s="1085"/>
      <c r="G94" s="1085"/>
      <c r="H94" s="1085"/>
      <c r="I94" s="1085"/>
      <c r="J94" s="1085"/>
      <c r="K94" s="1085"/>
      <c r="L94" s="1085"/>
      <c r="M94" s="1085"/>
      <c r="N94" s="1085"/>
    </row>
    <row r="95" spans="1:14" x14ac:dyDescent="0.25">
      <c r="A95" s="1085"/>
      <c r="B95" s="1085"/>
      <c r="C95" s="1085"/>
      <c r="D95" s="1085"/>
      <c r="E95" s="1085"/>
      <c r="F95" s="1085"/>
      <c r="G95" s="1085"/>
      <c r="H95" s="1085"/>
      <c r="I95" s="1085"/>
      <c r="J95" s="1085"/>
      <c r="K95" s="1085"/>
      <c r="L95" s="1085"/>
      <c r="M95" s="1085"/>
      <c r="N95" s="1085"/>
    </row>
    <row r="96" spans="1:14" x14ac:dyDescent="0.25">
      <c r="A96" s="1085"/>
      <c r="B96" s="1085"/>
      <c r="C96" s="1085"/>
      <c r="D96" s="1085"/>
      <c r="E96" s="1085"/>
      <c r="F96" s="1085"/>
      <c r="G96" s="1085"/>
      <c r="H96" s="1085"/>
      <c r="I96" s="1085"/>
      <c r="J96" s="1085"/>
      <c r="K96" s="1085"/>
      <c r="L96" s="1085"/>
      <c r="M96" s="1085"/>
      <c r="N96" s="1085"/>
    </row>
    <row r="97" spans="1:14" x14ac:dyDescent="0.25">
      <c r="A97" s="1085"/>
      <c r="B97" s="1085"/>
      <c r="C97" s="1085"/>
      <c r="D97" s="1085"/>
      <c r="E97" s="1085"/>
      <c r="F97" s="1085"/>
      <c r="G97" s="1085"/>
      <c r="H97" s="1085"/>
      <c r="I97" s="1085"/>
      <c r="J97" s="1085"/>
      <c r="K97" s="1085"/>
      <c r="L97" s="1085"/>
      <c r="M97" s="1085"/>
      <c r="N97" s="1085"/>
    </row>
    <row r="98" spans="1:14" x14ac:dyDescent="0.25">
      <c r="A98" s="1085"/>
      <c r="B98" s="1085"/>
      <c r="C98" s="1085"/>
      <c r="D98" s="1085"/>
      <c r="E98" s="1085"/>
      <c r="F98" s="1085"/>
      <c r="G98" s="1085"/>
      <c r="H98" s="1085"/>
      <c r="I98" s="1085"/>
      <c r="J98" s="1085"/>
      <c r="K98" s="1085"/>
      <c r="L98" s="1085"/>
      <c r="M98" s="1085"/>
      <c r="N98" s="1085"/>
    </row>
    <row r="99" spans="1:14" x14ac:dyDescent="0.25">
      <c r="A99" s="1085"/>
      <c r="B99" s="1085"/>
      <c r="C99" s="1085"/>
      <c r="D99" s="1085"/>
      <c r="E99" s="1085"/>
      <c r="F99" s="1085"/>
      <c r="G99" s="1085"/>
      <c r="H99" s="1085"/>
      <c r="I99" s="1085"/>
      <c r="J99" s="1085"/>
      <c r="K99" s="1085"/>
      <c r="L99" s="1085"/>
      <c r="M99" s="1085"/>
      <c r="N99" s="1085"/>
    </row>
    <row r="100" spans="1:14" x14ac:dyDescent="0.25">
      <c r="A100" s="1085"/>
      <c r="B100" s="1085"/>
      <c r="C100" s="1085"/>
      <c r="D100" s="1085"/>
      <c r="E100" s="1085"/>
      <c r="F100" s="1085"/>
      <c r="G100" s="1085"/>
      <c r="H100" s="1085"/>
      <c r="I100" s="1085"/>
      <c r="J100" s="1085"/>
      <c r="K100" s="1085"/>
      <c r="L100" s="1085"/>
      <c r="M100" s="1085"/>
      <c r="N100" s="1085"/>
    </row>
    <row r="101" spans="1:14" x14ac:dyDescent="0.25">
      <c r="A101" s="1085"/>
      <c r="B101" s="1085"/>
      <c r="C101" s="1085"/>
      <c r="D101" s="1085"/>
      <c r="E101" s="1085"/>
      <c r="F101" s="1085"/>
      <c r="G101" s="1085"/>
      <c r="H101" s="1085"/>
      <c r="I101" s="1085"/>
      <c r="J101" s="1085"/>
      <c r="K101" s="1085"/>
      <c r="L101" s="1085"/>
      <c r="M101" s="1085"/>
      <c r="N101" s="1085"/>
    </row>
    <row r="102" spans="1:14" x14ac:dyDescent="0.25">
      <c r="A102" s="1085"/>
      <c r="B102" s="1085"/>
      <c r="C102" s="1085"/>
      <c r="D102" s="1085"/>
      <c r="E102" s="1085"/>
      <c r="F102" s="1085"/>
      <c r="G102" s="1085"/>
      <c r="H102" s="1085"/>
      <c r="I102" s="1085"/>
      <c r="J102" s="1085"/>
      <c r="K102" s="1085"/>
      <c r="L102" s="1085"/>
      <c r="M102" s="1085"/>
      <c r="N102" s="1085"/>
    </row>
    <row r="103" spans="1:14" x14ac:dyDescent="0.25">
      <c r="A103" s="1085"/>
      <c r="B103" s="1085"/>
      <c r="C103" s="1085"/>
      <c r="D103" s="1085"/>
      <c r="E103" s="1085"/>
      <c r="F103" s="1085"/>
      <c r="G103" s="1085"/>
      <c r="H103" s="1085"/>
      <c r="I103" s="1085"/>
      <c r="J103" s="1085"/>
      <c r="K103" s="1085"/>
      <c r="L103" s="1085"/>
      <c r="M103" s="1085"/>
      <c r="N103" s="1085"/>
    </row>
    <row r="104" spans="1:14" x14ac:dyDescent="0.25">
      <c r="A104" s="1085"/>
      <c r="B104" s="1085"/>
      <c r="C104" s="1085"/>
      <c r="D104" s="1085"/>
      <c r="E104" s="1085"/>
      <c r="F104" s="1085"/>
      <c r="G104" s="1085"/>
      <c r="H104" s="1085"/>
      <c r="I104" s="1085"/>
      <c r="J104" s="1085"/>
      <c r="K104" s="1085"/>
      <c r="L104" s="1085"/>
      <c r="M104" s="1085"/>
      <c r="N104" s="1085"/>
    </row>
    <row r="105" spans="1:14" x14ac:dyDescent="0.25">
      <c r="A105" s="1085"/>
      <c r="B105" s="1085"/>
      <c r="C105" s="1085"/>
      <c r="D105" s="1085"/>
      <c r="E105" s="1085"/>
      <c r="F105" s="1085"/>
      <c r="G105" s="1085"/>
      <c r="H105" s="1085"/>
      <c r="I105" s="1085"/>
      <c r="J105" s="1085"/>
      <c r="K105" s="1085"/>
      <c r="L105" s="1085"/>
      <c r="M105" s="1085"/>
      <c r="N105" s="1085"/>
    </row>
    <row r="106" spans="1:14" x14ac:dyDescent="0.25">
      <c r="A106" s="1085"/>
      <c r="B106" s="1085"/>
      <c r="C106" s="1085"/>
      <c r="D106" s="1085"/>
      <c r="E106" s="1085"/>
      <c r="F106" s="1085"/>
      <c r="G106" s="1085"/>
      <c r="H106" s="1085"/>
      <c r="I106" s="1085"/>
      <c r="J106" s="1085"/>
      <c r="K106" s="1085"/>
      <c r="L106" s="1085"/>
      <c r="M106" s="1085"/>
      <c r="N106" s="1085"/>
    </row>
    <row r="107" spans="1:14" x14ac:dyDescent="0.25">
      <c r="A107" s="1085"/>
      <c r="B107" s="1085"/>
      <c r="C107" s="1085"/>
      <c r="D107" s="1085"/>
      <c r="E107" s="1085"/>
      <c r="F107" s="1085"/>
      <c r="G107" s="1085"/>
      <c r="H107" s="1085"/>
      <c r="I107" s="1085"/>
      <c r="J107" s="1085"/>
      <c r="K107" s="1085"/>
      <c r="L107" s="1085"/>
      <c r="M107" s="1085"/>
      <c r="N107" s="1085"/>
    </row>
    <row r="108" spans="1:14" x14ac:dyDescent="0.25">
      <c r="A108" s="1085"/>
      <c r="B108" s="1085"/>
      <c r="C108" s="1085"/>
      <c r="D108" s="1085"/>
      <c r="E108" s="1085"/>
      <c r="F108" s="1085"/>
      <c r="G108" s="1085"/>
      <c r="H108" s="1085"/>
      <c r="I108" s="1085"/>
      <c r="J108" s="1085"/>
      <c r="K108" s="1085"/>
      <c r="L108" s="1085"/>
      <c r="M108" s="1085"/>
      <c r="N108" s="1085"/>
    </row>
    <row r="109" spans="1:14" x14ac:dyDescent="0.25">
      <c r="A109" s="1085"/>
      <c r="B109" s="1085"/>
      <c r="C109" s="1085"/>
      <c r="D109" s="1085"/>
      <c r="E109" s="1085"/>
      <c r="F109" s="1085"/>
      <c r="G109" s="1085"/>
      <c r="H109" s="1085"/>
      <c r="I109" s="1085"/>
      <c r="J109" s="1085"/>
      <c r="K109" s="1085"/>
      <c r="L109" s="1085"/>
      <c r="M109" s="1085"/>
      <c r="N109" s="1085"/>
    </row>
    <row r="110" spans="1:14" x14ac:dyDescent="0.25">
      <c r="A110" s="1085"/>
      <c r="B110" s="1085"/>
      <c r="C110" s="1085"/>
      <c r="D110" s="1085"/>
      <c r="E110" s="1085"/>
      <c r="F110" s="1085"/>
      <c r="G110" s="1085"/>
      <c r="H110" s="1085"/>
      <c r="I110" s="1085"/>
      <c r="J110" s="1085"/>
      <c r="K110" s="1085"/>
      <c r="L110" s="1085"/>
      <c r="M110" s="1085"/>
      <c r="N110" s="1085"/>
    </row>
    <row r="111" spans="1:14" x14ac:dyDescent="0.25">
      <c r="A111" s="1085"/>
      <c r="B111" s="1085"/>
      <c r="C111" s="1085"/>
      <c r="D111" s="1085"/>
      <c r="E111" s="1085"/>
      <c r="F111" s="1085"/>
      <c r="G111" s="1085"/>
      <c r="H111" s="1085"/>
      <c r="I111" s="1085"/>
      <c r="J111" s="1085"/>
      <c r="K111" s="1085"/>
      <c r="L111" s="1085"/>
      <c r="M111" s="1085"/>
      <c r="N111" s="1085"/>
    </row>
    <row r="112" spans="1:14" x14ac:dyDescent="0.25">
      <c r="A112" s="1085"/>
      <c r="B112" s="1085"/>
      <c r="C112" s="1085"/>
      <c r="D112" s="1085"/>
      <c r="E112" s="1085"/>
      <c r="F112" s="1085"/>
      <c r="G112" s="1085"/>
      <c r="H112" s="1085"/>
      <c r="I112" s="1085"/>
      <c r="J112" s="1085"/>
      <c r="K112" s="1085"/>
      <c r="L112" s="1085"/>
      <c r="M112" s="1085"/>
      <c r="N112" s="1085"/>
    </row>
    <row r="113" spans="1:14" x14ac:dyDescent="0.25">
      <c r="A113" s="1085"/>
      <c r="B113" s="1085"/>
      <c r="C113" s="1085"/>
      <c r="D113" s="1085"/>
      <c r="E113" s="1085"/>
      <c r="F113" s="1085"/>
      <c r="G113" s="1085"/>
      <c r="H113" s="1085"/>
      <c r="I113" s="1085"/>
      <c r="J113" s="1085"/>
      <c r="K113" s="1085"/>
      <c r="L113" s="1085"/>
      <c r="M113" s="1085"/>
      <c r="N113" s="1085"/>
    </row>
    <row r="114" spans="1:14" x14ac:dyDescent="0.25">
      <c r="A114" s="1085"/>
      <c r="B114" s="1085"/>
      <c r="C114" s="1085"/>
      <c r="D114" s="1085"/>
      <c r="E114" s="1085"/>
      <c r="F114" s="1085"/>
      <c r="G114" s="1085"/>
      <c r="H114" s="1085"/>
      <c r="I114" s="1085"/>
      <c r="J114" s="1085"/>
      <c r="K114" s="1085"/>
      <c r="L114" s="1085"/>
      <c r="M114" s="1085"/>
      <c r="N114" s="1085"/>
    </row>
    <row r="115" spans="1:14" x14ac:dyDescent="0.25">
      <c r="A115" s="1085"/>
      <c r="B115" s="1085"/>
      <c r="C115" s="1085"/>
      <c r="D115" s="1085"/>
      <c r="E115" s="1085"/>
      <c r="F115" s="1085"/>
      <c r="G115" s="1085"/>
      <c r="H115" s="1085"/>
      <c r="I115" s="1085"/>
      <c r="J115" s="1085"/>
      <c r="K115" s="1085"/>
      <c r="L115" s="1085"/>
      <c r="M115" s="1085"/>
      <c r="N115" s="1085"/>
    </row>
    <row r="116" spans="1:14" x14ac:dyDescent="0.25">
      <c r="A116" s="1085"/>
      <c r="B116" s="1085"/>
      <c r="C116" s="1085"/>
      <c r="D116" s="1085"/>
      <c r="E116" s="1085"/>
      <c r="F116" s="1085"/>
      <c r="G116" s="1085"/>
      <c r="H116" s="1085"/>
      <c r="I116" s="1085"/>
      <c r="J116" s="1085"/>
      <c r="K116" s="1085"/>
      <c r="L116" s="1085"/>
      <c r="M116" s="1085"/>
      <c r="N116" s="1085"/>
    </row>
    <row r="117" spans="1:14" x14ac:dyDescent="0.25">
      <c r="A117" s="1085"/>
      <c r="B117" s="1085"/>
      <c r="C117" s="1085"/>
      <c r="D117" s="1085"/>
      <c r="E117" s="1085"/>
      <c r="F117" s="1085"/>
      <c r="G117" s="1085"/>
      <c r="H117" s="1085"/>
      <c r="I117" s="1085"/>
      <c r="J117" s="1085"/>
      <c r="K117" s="1085"/>
      <c r="L117" s="1085"/>
      <c r="M117" s="1085"/>
      <c r="N117" s="1085"/>
    </row>
    <row r="118" spans="1:14" x14ac:dyDescent="0.25">
      <c r="A118" s="1085"/>
      <c r="B118" s="1085"/>
      <c r="C118" s="1085"/>
      <c r="D118" s="1085"/>
      <c r="E118" s="1085"/>
      <c r="F118" s="1085"/>
      <c r="G118" s="1085"/>
      <c r="H118" s="1085"/>
      <c r="I118" s="1085"/>
      <c r="J118" s="1085"/>
      <c r="K118" s="1085"/>
      <c r="L118" s="1085"/>
      <c r="M118" s="1085"/>
      <c r="N118" s="1085"/>
    </row>
    <row r="119" spans="1:14" x14ac:dyDescent="0.25">
      <c r="A119" s="1085"/>
      <c r="B119" s="1085"/>
      <c r="C119" s="1085"/>
      <c r="D119" s="1085"/>
      <c r="E119" s="1085"/>
      <c r="F119" s="1085"/>
      <c r="G119" s="1085"/>
      <c r="H119" s="1085"/>
      <c r="I119" s="1085"/>
      <c r="J119" s="1085"/>
      <c r="K119" s="1085"/>
      <c r="L119" s="1085"/>
      <c r="M119" s="1085"/>
      <c r="N119" s="1085"/>
    </row>
    <row r="120" spans="1:14" x14ac:dyDescent="0.25">
      <c r="A120" s="1085"/>
      <c r="B120" s="1085"/>
      <c r="C120" s="1085"/>
      <c r="D120" s="1085"/>
      <c r="E120" s="1085"/>
      <c r="F120" s="1085"/>
      <c r="G120" s="1085"/>
      <c r="H120" s="1085"/>
      <c r="I120" s="1085"/>
      <c r="J120" s="1085"/>
      <c r="K120" s="1085"/>
      <c r="L120" s="1085"/>
      <c r="M120" s="1085"/>
      <c r="N120" s="1085"/>
    </row>
    <row r="121" spans="1:14" x14ac:dyDescent="0.25">
      <c r="A121" s="1085"/>
      <c r="B121" s="1085"/>
      <c r="C121" s="1085"/>
      <c r="D121" s="1085"/>
      <c r="E121" s="1085"/>
      <c r="F121" s="1085"/>
      <c r="G121" s="1085"/>
      <c r="H121" s="1085"/>
      <c r="I121" s="1085"/>
      <c r="J121" s="1085"/>
      <c r="K121" s="1085"/>
      <c r="L121" s="1085"/>
      <c r="M121" s="1085"/>
      <c r="N121" s="1085"/>
    </row>
    <row r="122" spans="1:14" x14ac:dyDescent="0.25">
      <c r="A122" s="1085"/>
      <c r="B122" s="1085"/>
      <c r="C122" s="1085"/>
      <c r="D122" s="1085"/>
      <c r="E122" s="1085"/>
      <c r="F122" s="1085"/>
      <c r="G122" s="1085"/>
      <c r="H122" s="1085"/>
      <c r="I122" s="1085"/>
      <c r="J122" s="1085"/>
      <c r="K122" s="1085"/>
      <c r="L122" s="1085"/>
      <c r="M122" s="1085"/>
      <c r="N122" s="1085"/>
    </row>
    <row r="123" spans="1:14" x14ac:dyDescent="0.25">
      <c r="A123" s="1085"/>
      <c r="B123" s="1085"/>
      <c r="C123" s="1085"/>
      <c r="D123" s="1085"/>
      <c r="E123" s="1085"/>
      <c r="F123" s="1085"/>
      <c r="G123" s="1085"/>
      <c r="H123" s="1085"/>
      <c r="I123" s="1085"/>
      <c r="J123" s="1085"/>
      <c r="K123" s="1085"/>
      <c r="L123" s="1085"/>
      <c r="M123" s="1085"/>
      <c r="N123" s="1085"/>
    </row>
    <row r="124" spans="1:14" x14ac:dyDescent="0.25">
      <c r="A124" s="1085"/>
      <c r="B124" s="1085"/>
      <c r="C124" s="1085"/>
      <c r="D124" s="1085"/>
      <c r="E124" s="1085"/>
      <c r="F124" s="1085"/>
      <c r="G124" s="1085"/>
      <c r="H124" s="1085"/>
      <c r="I124" s="1085"/>
      <c r="J124" s="1085"/>
      <c r="K124" s="1085"/>
      <c r="L124" s="1085"/>
      <c r="M124" s="1085"/>
      <c r="N124" s="1085"/>
    </row>
    <row r="125" spans="1:14" x14ac:dyDescent="0.25">
      <c r="A125" s="1085"/>
      <c r="B125" s="1085"/>
      <c r="C125" s="1085"/>
      <c r="D125" s="1085"/>
      <c r="E125" s="1085"/>
      <c r="F125" s="1085"/>
      <c r="G125" s="1085"/>
      <c r="H125" s="1085"/>
      <c r="I125" s="1085"/>
      <c r="J125" s="1085"/>
      <c r="K125" s="1085"/>
      <c r="L125" s="1085"/>
      <c r="M125" s="1085"/>
      <c r="N125" s="1085"/>
    </row>
    <row r="126" spans="1:14" x14ac:dyDescent="0.25">
      <c r="A126" s="1085"/>
      <c r="B126" s="1085"/>
      <c r="C126" s="1085"/>
      <c r="D126" s="1085"/>
      <c r="E126" s="1085"/>
      <c r="F126" s="1085"/>
      <c r="G126" s="1085"/>
      <c r="H126" s="1085"/>
      <c r="I126" s="1085"/>
      <c r="J126" s="1085"/>
      <c r="K126" s="1085"/>
      <c r="L126" s="1085"/>
      <c r="M126" s="1085"/>
      <c r="N126" s="1085"/>
    </row>
    <row r="127" spans="1:14" x14ac:dyDescent="0.25">
      <c r="A127" s="1085"/>
      <c r="B127" s="1085"/>
      <c r="C127" s="1085"/>
      <c r="D127" s="1085"/>
      <c r="E127" s="1085"/>
      <c r="F127" s="1085"/>
      <c r="G127" s="1085"/>
      <c r="H127" s="1085"/>
      <c r="I127" s="1085"/>
      <c r="J127" s="1085"/>
      <c r="K127" s="1085"/>
      <c r="L127" s="1085"/>
      <c r="M127" s="1085"/>
      <c r="N127" s="1085"/>
    </row>
    <row r="128" spans="1:14" x14ac:dyDescent="0.25">
      <c r="A128" s="1085"/>
      <c r="B128" s="1085"/>
      <c r="C128" s="1085"/>
      <c r="D128" s="1085"/>
      <c r="E128" s="1085"/>
      <c r="F128" s="1085"/>
      <c r="G128" s="1085"/>
      <c r="H128" s="1085"/>
      <c r="I128" s="1085"/>
      <c r="J128" s="1085"/>
      <c r="K128" s="1085"/>
      <c r="L128" s="1085"/>
      <c r="M128" s="1085"/>
      <c r="N128" s="1085"/>
    </row>
    <row r="129" spans="1:14" x14ac:dyDescent="0.25">
      <c r="A129" s="1085"/>
      <c r="B129" s="1085"/>
      <c r="C129" s="1085"/>
      <c r="D129" s="1085"/>
      <c r="E129" s="1085"/>
      <c r="F129" s="1085"/>
      <c r="G129" s="1085"/>
      <c r="H129" s="1085"/>
      <c r="I129" s="1085"/>
      <c r="J129" s="1085"/>
      <c r="K129" s="1085"/>
      <c r="L129" s="1085"/>
      <c r="M129" s="1085"/>
      <c r="N129" s="1085"/>
    </row>
    <row r="130" spans="1:14" x14ac:dyDescent="0.25">
      <c r="A130" s="1085"/>
      <c r="B130" s="1085"/>
      <c r="C130" s="1085"/>
      <c r="D130" s="1085"/>
      <c r="E130" s="1085"/>
      <c r="F130" s="1085"/>
      <c r="G130" s="1085"/>
      <c r="H130" s="1085"/>
      <c r="I130" s="1085"/>
      <c r="J130" s="1085"/>
      <c r="K130" s="1085"/>
      <c r="L130" s="1085"/>
      <c r="M130" s="1085"/>
      <c r="N130" s="1085"/>
    </row>
    <row r="131" spans="1:14" x14ac:dyDescent="0.25">
      <c r="A131" s="1085"/>
      <c r="B131" s="1085"/>
      <c r="C131" s="1085"/>
      <c r="D131" s="1085"/>
      <c r="E131" s="1085"/>
      <c r="F131" s="1085"/>
      <c r="G131" s="1085"/>
      <c r="H131" s="1085"/>
      <c r="I131" s="1085"/>
      <c r="J131" s="1085"/>
      <c r="K131" s="1085"/>
      <c r="L131" s="1085"/>
      <c r="M131" s="1085"/>
      <c r="N131" s="1085"/>
    </row>
    <row r="132" spans="1:14" x14ac:dyDescent="0.25">
      <c r="A132" s="1085"/>
      <c r="B132" s="1085"/>
      <c r="C132" s="1085"/>
      <c r="D132" s="1085"/>
      <c r="E132" s="1085"/>
      <c r="F132" s="1085"/>
      <c r="G132" s="1085"/>
      <c r="H132" s="1085"/>
      <c r="I132" s="1085"/>
      <c r="J132" s="1085"/>
      <c r="K132" s="1085"/>
      <c r="L132" s="1085"/>
      <c r="M132" s="1085"/>
      <c r="N132" s="1085"/>
    </row>
    <row r="133" spans="1:14" x14ac:dyDescent="0.25">
      <c r="A133" s="1085"/>
      <c r="B133" s="1085"/>
      <c r="C133" s="1085"/>
      <c r="D133" s="1085"/>
      <c r="E133" s="1085"/>
      <c r="F133" s="1085"/>
      <c r="G133" s="1085"/>
      <c r="H133" s="1085"/>
      <c r="I133" s="1085"/>
      <c r="J133" s="1085"/>
      <c r="K133" s="1085"/>
      <c r="L133" s="1085"/>
      <c r="M133" s="1085"/>
      <c r="N133" s="1085"/>
    </row>
    <row r="134" spans="1:14" x14ac:dyDescent="0.25">
      <c r="A134" s="1085"/>
      <c r="B134" s="1085"/>
      <c r="C134" s="1085"/>
      <c r="D134" s="1085"/>
      <c r="E134" s="1085"/>
      <c r="F134" s="1085"/>
      <c r="G134" s="1085"/>
      <c r="H134" s="1085"/>
      <c r="I134" s="1085"/>
      <c r="J134" s="1085"/>
      <c r="K134" s="1085"/>
      <c r="L134" s="1085"/>
      <c r="M134" s="1085"/>
      <c r="N134" s="1085"/>
    </row>
    <row r="135" spans="1:14" x14ac:dyDescent="0.25">
      <c r="A135" s="1085"/>
      <c r="B135" s="1085"/>
      <c r="C135" s="1085"/>
      <c r="D135" s="1085"/>
      <c r="E135" s="1085"/>
      <c r="F135" s="1085"/>
      <c r="G135" s="1085"/>
      <c r="H135" s="1085"/>
      <c r="I135" s="1085"/>
      <c r="J135" s="1085"/>
      <c r="K135" s="1085"/>
      <c r="L135" s="1085"/>
      <c r="M135" s="1085"/>
      <c r="N135" s="1085"/>
    </row>
    <row r="136" spans="1:14" x14ac:dyDescent="0.25">
      <c r="A136" s="1085"/>
      <c r="B136" s="1085"/>
      <c r="C136" s="1085"/>
      <c r="D136" s="1085"/>
      <c r="E136" s="1085"/>
      <c r="F136" s="1085"/>
      <c r="G136" s="1085"/>
      <c r="H136" s="1085"/>
      <c r="I136" s="1085"/>
      <c r="J136" s="1085"/>
      <c r="K136" s="1085"/>
      <c r="L136" s="1085"/>
      <c r="M136" s="1085"/>
      <c r="N136" s="1085"/>
    </row>
    <row r="137" spans="1:14" x14ac:dyDescent="0.25">
      <c r="A137" s="1085"/>
      <c r="B137" s="1085"/>
      <c r="C137" s="1085"/>
      <c r="D137" s="1085"/>
      <c r="E137" s="1085"/>
      <c r="F137" s="1085"/>
      <c r="G137" s="1085"/>
      <c r="H137" s="1085"/>
      <c r="I137" s="1085"/>
      <c r="J137" s="1085"/>
      <c r="K137" s="1085"/>
      <c r="L137" s="1085"/>
      <c r="M137" s="1085"/>
      <c r="N137" s="1085"/>
    </row>
    <row r="138" spans="1:14" x14ac:dyDescent="0.25">
      <c r="A138" s="1085"/>
      <c r="B138" s="1085"/>
      <c r="C138" s="1085"/>
      <c r="D138" s="1085"/>
      <c r="E138" s="1085"/>
      <c r="F138" s="1085"/>
      <c r="G138" s="1085"/>
      <c r="H138" s="1085"/>
      <c r="I138" s="1085"/>
      <c r="J138" s="1085"/>
      <c r="K138" s="1085"/>
      <c r="L138" s="1085"/>
      <c r="M138" s="1085"/>
      <c r="N138" s="1085"/>
    </row>
    <row r="139" spans="1:14" x14ac:dyDescent="0.25">
      <c r="A139" s="1085"/>
      <c r="B139" s="1085"/>
      <c r="C139" s="1085"/>
      <c r="D139" s="1085"/>
      <c r="E139" s="1085"/>
      <c r="F139" s="1085"/>
      <c r="G139" s="1085"/>
      <c r="H139" s="1085"/>
      <c r="I139" s="1085"/>
      <c r="J139" s="1085"/>
      <c r="K139" s="1085"/>
      <c r="L139" s="1085"/>
      <c r="M139" s="1085"/>
      <c r="N139" s="1085"/>
    </row>
    <row r="140" spans="1:14" x14ac:dyDescent="0.25">
      <c r="A140" s="1085"/>
      <c r="B140" s="1085"/>
      <c r="C140" s="1085"/>
      <c r="D140" s="1085"/>
      <c r="E140" s="1085"/>
      <c r="F140" s="1085"/>
      <c r="G140" s="1085"/>
      <c r="H140" s="1085"/>
      <c r="I140" s="1085"/>
      <c r="J140" s="1085"/>
      <c r="K140" s="1085"/>
      <c r="L140" s="1085"/>
      <c r="M140" s="1085"/>
      <c r="N140" s="1085"/>
    </row>
    <row r="141" spans="1:14" x14ac:dyDescent="0.25">
      <c r="A141" s="1085"/>
      <c r="B141" s="1085"/>
      <c r="C141" s="1085"/>
      <c r="D141" s="1085"/>
      <c r="E141" s="1085"/>
      <c r="F141" s="1085"/>
      <c r="G141" s="1085"/>
      <c r="H141" s="1085"/>
      <c r="I141" s="1085"/>
      <c r="J141" s="1085"/>
      <c r="K141" s="1085"/>
      <c r="L141" s="1085"/>
      <c r="M141" s="1085"/>
      <c r="N141" s="1085"/>
    </row>
    <row r="142" spans="1:14" x14ac:dyDescent="0.25">
      <c r="A142" s="1085"/>
      <c r="B142" s="1085"/>
      <c r="C142" s="1085"/>
      <c r="D142" s="1085"/>
      <c r="E142" s="1085"/>
      <c r="F142" s="1085"/>
      <c r="G142" s="1085"/>
      <c r="H142" s="1085"/>
      <c r="I142" s="1085"/>
      <c r="J142" s="1085"/>
      <c r="K142" s="1085"/>
      <c r="L142" s="1085"/>
      <c r="M142" s="1085"/>
      <c r="N142" s="1085"/>
    </row>
    <row r="143" spans="1:14" x14ac:dyDescent="0.25">
      <c r="A143" s="1085"/>
      <c r="B143" s="1085"/>
      <c r="C143" s="1085"/>
      <c r="D143" s="1085"/>
      <c r="E143" s="1085"/>
      <c r="F143" s="1085"/>
      <c r="G143" s="1085"/>
      <c r="H143" s="1085"/>
      <c r="I143" s="1085"/>
      <c r="J143" s="1085"/>
      <c r="K143" s="1085"/>
      <c r="L143" s="1085"/>
      <c r="M143" s="1085"/>
      <c r="N143" s="1085"/>
    </row>
    <row r="144" spans="1:14" x14ac:dyDescent="0.25">
      <c r="A144" s="1085"/>
      <c r="B144" s="1085"/>
      <c r="C144" s="1085"/>
      <c r="D144" s="1085"/>
      <c r="E144" s="1085"/>
      <c r="F144" s="1085"/>
      <c r="G144" s="1085"/>
      <c r="H144" s="1085"/>
      <c r="I144" s="1085"/>
      <c r="J144" s="1085"/>
      <c r="K144" s="1085"/>
      <c r="L144" s="1085"/>
      <c r="M144" s="1085"/>
      <c r="N144" s="1085"/>
    </row>
    <row r="145" spans="1:14" x14ac:dyDescent="0.25">
      <c r="A145" s="1085"/>
      <c r="B145" s="1085"/>
      <c r="C145" s="1085"/>
      <c r="D145" s="1085"/>
      <c r="E145" s="1085"/>
      <c r="F145" s="1085"/>
      <c r="G145" s="1085"/>
      <c r="H145" s="1085"/>
      <c r="I145" s="1085"/>
      <c r="J145" s="1085"/>
      <c r="K145" s="1085"/>
      <c r="L145" s="1085"/>
      <c r="M145" s="1085"/>
      <c r="N145" s="1085"/>
    </row>
    <row r="146" spans="1:14" x14ac:dyDescent="0.25">
      <c r="A146" s="1085"/>
      <c r="B146" s="1085"/>
      <c r="C146" s="1085"/>
      <c r="D146" s="1085"/>
      <c r="E146" s="1085"/>
      <c r="F146" s="1085"/>
      <c r="G146" s="1085"/>
      <c r="H146" s="1085"/>
      <c r="I146" s="1085"/>
      <c r="J146" s="1085"/>
      <c r="K146" s="1085"/>
      <c r="L146" s="1085"/>
      <c r="M146" s="1085"/>
      <c r="N146" s="1085"/>
    </row>
    <row r="147" spans="1:14" x14ac:dyDescent="0.25">
      <c r="A147" s="1085"/>
      <c r="B147" s="1085"/>
      <c r="C147" s="1085"/>
      <c r="D147" s="1085"/>
      <c r="E147" s="1085"/>
      <c r="F147" s="1085"/>
      <c r="G147" s="1085"/>
      <c r="H147" s="1085"/>
      <c r="I147" s="1085"/>
      <c r="J147" s="1085"/>
      <c r="K147" s="1085"/>
      <c r="L147" s="1085"/>
      <c r="M147" s="1085"/>
      <c r="N147" s="1085"/>
    </row>
    <row r="148" spans="1:14" x14ac:dyDescent="0.25">
      <c r="A148" s="1085"/>
      <c r="B148" s="1085"/>
      <c r="C148" s="1085"/>
      <c r="D148" s="1085"/>
      <c r="E148" s="1085"/>
      <c r="F148" s="1085"/>
      <c r="G148" s="1085"/>
      <c r="H148" s="1085"/>
      <c r="I148" s="1085"/>
      <c r="J148" s="1085"/>
      <c r="K148" s="1085"/>
      <c r="L148" s="1085"/>
      <c r="M148" s="1085"/>
      <c r="N148" s="1085"/>
    </row>
    <row r="149" spans="1:14" x14ac:dyDescent="0.25">
      <c r="A149" s="1085"/>
      <c r="B149" s="1085"/>
      <c r="C149" s="1085"/>
      <c r="D149" s="1085"/>
      <c r="E149" s="1085"/>
      <c r="F149" s="1085"/>
      <c r="G149" s="1085"/>
      <c r="H149" s="1085"/>
      <c r="I149" s="1085"/>
      <c r="J149" s="1085"/>
      <c r="K149" s="1085"/>
      <c r="L149" s="1085"/>
      <c r="M149" s="1085"/>
      <c r="N149" s="1085"/>
    </row>
    <row r="150" spans="1:14" x14ac:dyDescent="0.25">
      <c r="A150" s="1085"/>
      <c r="B150" s="1085"/>
      <c r="C150" s="1085"/>
      <c r="D150" s="1085"/>
      <c r="E150" s="1085"/>
      <c r="F150" s="1085"/>
      <c r="G150" s="1085"/>
      <c r="H150" s="1085"/>
      <c r="I150" s="1085"/>
      <c r="J150" s="1085"/>
      <c r="K150" s="1085"/>
      <c r="L150" s="1085"/>
      <c r="M150" s="1085"/>
      <c r="N150" s="1085"/>
    </row>
    <row r="151" spans="1:14" x14ac:dyDescent="0.25">
      <c r="A151" s="1085"/>
      <c r="B151" s="1085"/>
      <c r="C151" s="1085"/>
      <c r="D151" s="1085"/>
      <c r="E151" s="1085"/>
      <c r="F151" s="1085"/>
      <c r="G151" s="1085"/>
      <c r="H151" s="1085"/>
      <c r="I151" s="1085"/>
      <c r="J151" s="1085"/>
      <c r="K151" s="1085"/>
      <c r="L151" s="1085"/>
      <c r="M151" s="1085"/>
      <c r="N151" s="1085"/>
    </row>
    <row r="152" spans="1:14" x14ac:dyDescent="0.25">
      <c r="A152" s="1085"/>
      <c r="B152" s="1085"/>
      <c r="C152" s="1085"/>
      <c r="D152" s="1085"/>
      <c r="E152" s="1085"/>
      <c r="F152" s="1085"/>
      <c r="G152" s="1085"/>
      <c r="H152" s="1085"/>
      <c r="I152" s="1085"/>
      <c r="J152" s="1085"/>
      <c r="K152" s="1085"/>
      <c r="L152" s="1085"/>
      <c r="M152" s="1085"/>
      <c r="N152" s="1085"/>
    </row>
    <row r="153" spans="1:14" x14ac:dyDescent="0.25">
      <c r="A153" s="1085"/>
      <c r="B153" s="1085"/>
      <c r="C153" s="1085"/>
      <c r="D153" s="1085"/>
      <c r="E153" s="1085"/>
      <c r="F153" s="1085"/>
      <c r="G153" s="1085"/>
      <c r="H153" s="1085"/>
      <c r="I153" s="1085"/>
      <c r="J153" s="1085"/>
      <c r="K153" s="1085"/>
      <c r="L153" s="1085"/>
      <c r="M153" s="1085"/>
      <c r="N153" s="1085"/>
    </row>
    <row r="154" spans="1:14" x14ac:dyDescent="0.25">
      <c r="A154" s="1085"/>
      <c r="B154" s="1085"/>
      <c r="C154" s="1085"/>
      <c r="D154" s="1085"/>
      <c r="E154" s="1085"/>
      <c r="F154" s="1085"/>
      <c r="G154" s="1085"/>
      <c r="H154" s="1085"/>
      <c r="I154" s="1085"/>
      <c r="J154" s="1085"/>
      <c r="K154" s="1085"/>
      <c r="L154" s="1085"/>
      <c r="M154" s="1085"/>
      <c r="N154" s="1085"/>
    </row>
    <row r="155" spans="1:14" x14ac:dyDescent="0.25">
      <c r="A155" s="1085"/>
      <c r="B155" s="1085"/>
      <c r="C155" s="1085"/>
      <c r="D155" s="1085"/>
      <c r="E155" s="1085"/>
      <c r="F155" s="1085"/>
      <c r="G155" s="1085"/>
      <c r="H155" s="1085"/>
      <c r="I155" s="1085"/>
      <c r="J155" s="1085"/>
      <c r="K155" s="1085"/>
      <c r="L155" s="1085"/>
      <c r="M155" s="1085"/>
      <c r="N155" s="1085"/>
    </row>
    <row r="156" spans="1:14" x14ac:dyDescent="0.25">
      <c r="A156" s="1085"/>
      <c r="B156" s="1085"/>
      <c r="C156" s="1085"/>
      <c r="D156" s="1085"/>
      <c r="E156" s="1085"/>
      <c r="F156" s="1085"/>
      <c r="G156" s="1085"/>
      <c r="H156" s="1085"/>
      <c r="I156" s="1085"/>
      <c r="J156" s="1085"/>
      <c r="K156" s="1085"/>
      <c r="L156" s="1085"/>
      <c r="M156" s="1085"/>
      <c r="N156" s="1085"/>
    </row>
    <row r="157" spans="1:14" x14ac:dyDescent="0.25">
      <c r="A157" s="1085"/>
      <c r="B157" s="1085"/>
      <c r="C157" s="1085"/>
      <c r="D157" s="1085"/>
      <c r="E157" s="1085"/>
      <c r="F157" s="1085"/>
      <c r="G157" s="1085"/>
      <c r="H157" s="1085"/>
      <c r="I157" s="1085"/>
      <c r="J157" s="1085"/>
      <c r="K157" s="1085"/>
      <c r="L157" s="1085"/>
      <c r="M157" s="1085"/>
      <c r="N157" s="1085"/>
    </row>
    <row r="158" spans="1:14" x14ac:dyDescent="0.25">
      <c r="A158" s="1085"/>
      <c r="B158" s="1085"/>
      <c r="C158" s="1085"/>
      <c r="D158" s="1085"/>
      <c r="E158" s="1085"/>
      <c r="F158" s="1085"/>
      <c r="G158" s="1085"/>
      <c r="H158" s="1085"/>
      <c r="I158" s="1085"/>
      <c r="J158" s="1085"/>
      <c r="K158" s="1085"/>
      <c r="L158" s="1085"/>
      <c r="M158" s="1085"/>
      <c r="N158" s="1085"/>
    </row>
    <row r="159" spans="1:14" x14ac:dyDescent="0.25">
      <c r="A159" s="1085"/>
      <c r="B159" s="1085"/>
      <c r="C159" s="1085"/>
      <c r="D159" s="1085"/>
      <c r="E159" s="1085"/>
      <c r="F159" s="1085"/>
      <c r="G159" s="1085"/>
      <c r="H159" s="1085"/>
      <c r="I159" s="1085"/>
      <c r="J159" s="1085"/>
      <c r="K159" s="1085"/>
      <c r="L159" s="1085"/>
      <c r="M159" s="1085"/>
      <c r="N159" s="1085"/>
    </row>
    <row r="160" spans="1:14" x14ac:dyDescent="0.25">
      <c r="A160" s="1085"/>
      <c r="B160" s="1085"/>
      <c r="C160" s="1085"/>
      <c r="D160" s="1085"/>
      <c r="E160" s="1085"/>
      <c r="F160" s="1085"/>
      <c r="G160" s="1085"/>
      <c r="H160" s="1085"/>
      <c r="I160" s="1085"/>
      <c r="J160" s="1085"/>
      <c r="K160" s="1085"/>
      <c r="L160" s="1085"/>
      <c r="M160" s="1085"/>
      <c r="N160" s="1085"/>
    </row>
    <row r="161" spans="1:14" x14ac:dyDescent="0.25">
      <c r="A161" s="1085"/>
      <c r="B161" s="1085"/>
      <c r="C161" s="1085"/>
      <c r="D161" s="1085"/>
      <c r="E161" s="1085"/>
      <c r="F161" s="1085"/>
      <c r="G161" s="1085"/>
      <c r="H161" s="1085"/>
      <c r="I161" s="1085"/>
      <c r="J161" s="1085"/>
      <c r="K161" s="1085"/>
      <c r="L161" s="1085"/>
      <c r="M161" s="1085"/>
      <c r="N161" s="1085"/>
    </row>
    <row r="162" spans="1:14" x14ac:dyDescent="0.25">
      <c r="A162" s="1085"/>
      <c r="B162" s="1085"/>
      <c r="C162" s="1085"/>
      <c r="D162" s="1085"/>
      <c r="E162" s="1085"/>
      <c r="F162" s="1085"/>
      <c r="G162" s="1085"/>
      <c r="H162" s="1085"/>
      <c r="I162" s="1085"/>
      <c r="J162" s="1085"/>
      <c r="K162" s="1085"/>
      <c r="L162" s="1085"/>
      <c r="M162" s="1085"/>
      <c r="N162" s="1085"/>
    </row>
    <row r="163" spans="1:14" x14ac:dyDescent="0.25">
      <c r="A163" s="1085"/>
      <c r="B163" s="1085"/>
      <c r="C163" s="1085"/>
      <c r="D163" s="1085"/>
      <c r="E163" s="1085"/>
      <c r="F163" s="1085"/>
      <c r="G163" s="1085"/>
      <c r="H163" s="1085"/>
      <c r="I163" s="1085"/>
      <c r="J163" s="1085"/>
      <c r="K163" s="1085"/>
      <c r="L163" s="1085"/>
      <c r="M163" s="1085"/>
      <c r="N163" s="1085"/>
    </row>
    <row r="164" spans="1:14" x14ac:dyDescent="0.25">
      <c r="A164" s="1085"/>
      <c r="B164" s="1085"/>
      <c r="C164" s="1085"/>
      <c r="D164" s="1085"/>
      <c r="E164" s="1085"/>
      <c r="F164" s="1085"/>
      <c r="G164" s="1085"/>
      <c r="H164" s="1085"/>
      <c r="I164" s="1085"/>
      <c r="J164" s="1085"/>
      <c r="K164" s="1085"/>
      <c r="L164" s="1085"/>
      <c r="M164" s="1085"/>
      <c r="N164" s="1085"/>
    </row>
    <row r="165" spans="1:14" x14ac:dyDescent="0.25">
      <c r="A165" s="1085"/>
      <c r="B165" s="1085"/>
      <c r="C165" s="1085"/>
      <c r="D165" s="1085"/>
      <c r="E165" s="1085"/>
      <c r="F165" s="1085"/>
      <c r="G165" s="1085"/>
      <c r="H165" s="1085"/>
      <c r="I165" s="1085"/>
      <c r="J165" s="1085"/>
      <c r="K165" s="1085"/>
      <c r="L165" s="1085"/>
      <c r="M165" s="1085"/>
      <c r="N165" s="1085"/>
    </row>
    <row r="166" spans="1:14" x14ac:dyDescent="0.25">
      <c r="A166" s="1085"/>
      <c r="B166" s="1085"/>
      <c r="C166" s="1085"/>
      <c r="D166" s="1085"/>
      <c r="E166" s="1085"/>
      <c r="F166" s="1085"/>
      <c r="G166" s="1085"/>
      <c r="H166" s="1085"/>
      <c r="I166" s="1085"/>
      <c r="J166" s="1085"/>
      <c r="K166" s="1085"/>
      <c r="L166" s="1085"/>
      <c r="M166" s="1085"/>
      <c r="N166" s="1085"/>
    </row>
    <row r="167" spans="1:14" x14ac:dyDescent="0.25">
      <c r="A167" s="1085"/>
      <c r="B167" s="1085"/>
      <c r="C167" s="1085"/>
      <c r="D167" s="1085"/>
      <c r="E167" s="1085"/>
      <c r="F167" s="1085"/>
      <c r="G167" s="1085"/>
      <c r="H167" s="1085"/>
      <c r="I167" s="1085"/>
      <c r="J167" s="1085"/>
      <c r="K167" s="1085"/>
      <c r="L167" s="1085"/>
      <c r="M167" s="1085"/>
      <c r="N167" s="1085"/>
    </row>
    <row r="168" spans="1:14" x14ac:dyDescent="0.25">
      <c r="A168" s="1085"/>
      <c r="B168" s="1085"/>
      <c r="C168" s="1085"/>
      <c r="D168" s="1085"/>
      <c r="E168" s="1085"/>
      <c r="F168" s="1085"/>
      <c r="G168" s="1085"/>
      <c r="H168" s="1085"/>
      <c r="I168" s="1085"/>
      <c r="J168" s="1085"/>
      <c r="K168" s="1085"/>
      <c r="L168" s="1085"/>
      <c r="M168" s="1085"/>
      <c r="N168" s="1085"/>
    </row>
    <row r="169" spans="1:14" x14ac:dyDescent="0.25">
      <c r="A169" s="1085"/>
      <c r="B169" s="1085"/>
      <c r="C169" s="1085"/>
      <c r="D169" s="1085"/>
      <c r="E169" s="1085"/>
      <c r="F169" s="1085"/>
      <c r="G169" s="1085"/>
      <c r="H169" s="1085"/>
      <c r="I169" s="1085"/>
      <c r="J169" s="1085"/>
      <c r="K169" s="1085"/>
      <c r="L169" s="1085"/>
      <c r="M169" s="1085"/>
      <c r="N169" s="1085"/>
    </row>
    <row r="170" spans="1:14" x14ac:dyDescent="0.25">
      <c r="A170" s="1085"/>
      <c r="B170" s="1085"/>
      <c r="C170" s="1085"/>
      <c r="D170" s="1085"/>
      <c r="E170" s="1085"/>
      <c r="F170" s="1085"/>
      <c r="G170" s="1085"/>
      <c r="H170" s="1085"/>
      <c r="I170" s="1085"/>
      <c r="J170" s="1085"/>
      <c r="K170" s="1085"/>
      <c r="L170" s="1085"/>
      <c r="M170" s="1085"/>
      <c r="N170" s="1085"/>
    </row>
    <row r="171" spans="1:14" x14ac:dyDescent="0.25">
      <c r="A171" s="1085"/>
      <c r="B171" s="1085"/>
      <c r="C171" s="1085"/>
      <c r="D171" s="1085"/>
      <c r="E171" s="1085"/>
      <c r="F171" s="1085"/>
      <c r="G171" s="1085"/>
      <c r="H171" s="1085"/>
      <c r="I171" s="1085"/>
      <c r="J171" s="1085"/>
      <c r="K171" s="1085"/>
      <c r="L171" s="1085"/>
      <c r="M171" s="1085"/>
      <c r="N171" s="1085"/>
    </row>
    <row r="172" spans="1:14" x14ac:dyDescent="0.25">
      <c r="A172" s="1085"/>
      <c r="B172" s="1085"/>
      <c r="C172" s="1085"/>
      <c r="D172" s="1085"/>
      <c r="E172" s="1085"/>
      <c r="F172" s="1085"/>
      <c r="G172" s="1085"/>
      <c r="H172" s="1085"/>
      <c r="I172" s="1085"/>
      <c r="J172" s="1085"/>
      <c r="K172" s="1085"/>
      <c r="L172" s="1085"/>
      <c r="M172" s="1085"/>
      <c r="N172" s="1085"/>
    </row>
    <row r="173" spans="1:14" x14ac:dyDescent="0.25">
      <c r="A173" s="1085"/>
      <c r="B173" s="1085"/>
      <c r="C173" s="1085"/>
      <c r="D173" s="1085"/>
      <c r="E173" s="1085"/>
      <c r="F173" s="1085"/>
      <c r="G173" s="1085"/>
      <c r="H173" s="1085"/>
      <c r="I173" s="1085"/>
      <c r="J173" s="1085"/>
      <c r="K173" s="1085"/>
      <c r="L173" s="1085"/>
      <c r="M173" s="1085"/>
      <c r="N173" s="1085"/>
    </row>
    <row r="174" spans="1:14" x14ac:dyDescent="0.25">
      <c r="A174" s="1085"/>
      <c r="B174" s="1085"/>
      <c r="C174" s="1085"/>
      <c r="D174" s="1085"/>
      <c r="E174" s="1085"/>
      <c r="F174" s="1085"/>
      <c r="G174" s="1085"/>
      <c r="H174" s="1085"/>
      <c r="I174" s="1085"/>
      <c r="J174" s="1085"/>
      <c r="K174" s="1085"/>
      <c r="L174" s="1085"/>
      <c r="M174" s="1085"/>
      <c r="N174" s="1085"/>
    </row>
    <row r="175" spans="1:14" x14ac:dyDescent="0.25">
      <c r="A175" s="1085"/>
      <c r="B175" s="1085"/>
      <c r="C175" s="1085"/>
      <c r="D175" s="1085"/>
      <c r="E175" s="1085"/>
      <c r="F175" s="1085"/>
      <c r="G175" s="1085"/>
      <c r="H175" s="1085"/>
      <c r="I175" s="1085"/>
      <c r="J175" s="1085"/>
      <c r="K175" s="1085"/>
      <c r="L175" s="1085"/>
      <c r="M175" s="1085"/>
      <c r="N175" s="1085"/>
    </row>
    <row r="176" spans="1:14" x14ac:dyDescent="0.25">
      <c r="A176" s="1085"/>
      <c r="B176" s="1085"/>
      <c r="C176" s="1085"/>
      <c r="D176" s="1085"/>
      <c r="E176" s="1085"/>
      <c r="F176" s="1085"/>
      <c r="G176" s="1085"/>
      <c r="H176" s="1085"/>
      <c r="I176" s="1085"/>
      <c r="J176" s="1085"/>
      <c r="K176" s="1085"/>
      <c r="L176" s="1085"/>
      <c r="M176" s="1085"/>
      <c r="N176" s="1085"/>
    </row>
    <row r="177" spans="1:14" x14ac:dyDescent="0.25">
      <c r="A177" s="1085"/>
      <c r="B177" s="1085"/>
      <c r="C177" s="1085"/>
      <c r="D177" s="1085"/>
      <c r="E177" s="1085"/>
      <c r="F177" s="1085"/>
      <c r="G177" s="1085"/>
      <c r="H177" s="1085"/>
      <c r="I177" s="1085"/>
      <c r="J177" s="1085"/>
      <c r="K177" s="1085"/>
      <c r="L177" s="1085"/>
      <c r="M177" s="1085"/>
      <c r="N177" s="1085"/>
    </row>
    <row r="178" spans="1:14" x14ac:dyDescent="0.25">
      <c r="A178" s="1085"/>
      <c r="B178" s="1085"/>
      <c r="C178" s="1085"/>
      <c r="D178" s="1085"/>
      <c r="E178" s="1085"/>
      <c r="F178" s="1085"/>
      <c r="G178" s="1085"/>
      <c r="H178" s="1085"/>
      <c r="I178" s="1085"/>
      <c r="J178" s="1085"/>
      <c r="K178" s="1085"/>
      <c r="L178" s="1085"/>
      <c r="M178" s="1085"/>
      <c r="N178" s="1085"/>
    </row>
    <row r="179" spans="1:14" x14ac:dyDescent="0.25">
      <c r="A179" s="1085"/>
      <c r="B179" s="1085"/>
      <c r="C179" s="1085"/>
      <c r="D179" s="1085"/>
      <c r="E179" s="1085"/>
      <c r="F179" s="1085"/>
      <c r="G179" s="1085"/>
      <c r="H179" s="1085"/>
      <c r="I179" s="1085"/>
      <c r="J179" s="1085"/>
      <c r="K179" s="1085"/>
      <c r="L179" s="1085"/>
      <c r="M179" s="1085"/>
      <c r="N179" s="1085"/>
    </row>
    <row r="180" spans="1:14" x14ac:dyDescent="0.25">
      <c r="A180" s="1085"/>
      <c r="B180" s="1085"/>
      <c r="C180" s="1085"/>
      <c r="D180" s="1085"/>
      <c r="E180" s="1085"/>
      <c r="F180" s="1085"/>
      <c r="G180" s="1085"/>
      <c r="H180" s="1085"/>
      <c r="I180" s="1085"/>
      <c r="J180" s="1085"/>
      <c r="K180" s="1085"/>
      <c r="L180" s="1085"/>
      <c r="M180" s="1085"/>
      <c r="N180" s="1085"/>
    </row>
    <row r="181" spans="1:14" x14ac:dyDescent="0.25">
      <c r="A181" s="1085"/>
      <c r="B181" s="1085"/>
      <c r="C181" s="1085"/>
      <c r="D181" s="1085"/>
      <c r="E181" s="1085"/>
      <c r="F181" s="1085"/>
      <c r="G181" s="1085"/>
      <c r="H181" s="1085"/>
      <c r="I181" s="1085"/>
      <c r="J181" s="1085"/>
      <c r="K181" s="1085"/>
      <c r="L181" s="1085"/>
      <c r="M181" s="1085"/>
      <c r="N181" s="1085"/>
    </row>
    <row r="182" spans="1:14" x14ac:dyDescent="0.25">
      <c r="A182" s="1085"/>
      <c r="B182" s="1085"/>
      <c r="C182" s="1085"/>
      <c r="D182" s="1085"/>
      <c r="E182" s="1085"/>
      <c r="F182" s="1085"/>
      <c r="G182" s="1085"/>
      <c r="H182" s="1085"/>
      <c r="I182" s="1085"/>
      <c r="J182" s="1085"/>
      <c r="K182" s="1085"/>
      <c r="L182" s="1085"/>
      <c r="M182" s="1085"/>
      <c r="N182" s="1085"/>
    </row>
    <row r="183" spans="1:14" x14ac:dyDescent="0.25">
      <c r="A183" s="1085"/>
      <c r="B183" s="1085"/>
      <c r="C183" s="1085"/>
      <c r="D183" s="1085"/>
      <c r="E183" s="1085"/>
      <c r="F183" s="1085"/>
      <c r="G183" s="1085"/>
      <c r="H183" s="1085"/>
      <c r="I183" s="1085"/>
      <c r="J183" s="1085"/>
      <c r="K183" s="1085"/>
      <c r="L183" s="1085"/>
      <c r="M183" s="1085"/>
      <c r="N183" s="1085"/>
    </row>
    <row r="184" spans="1:14" x14ac:dyDescent="0.25">
      <c r="A184" s="1085"/>
      <c r="B184" s="1085"/>
      <c r="C184" s="1085"/>
      <c r="D184" s="1085"/>
      <c r="E184" s="1085"/>
      <c r="F184" s="1085"/>
      <c r="G184" s="1085"/>
      <c r="H184" s="1085"/>
      <c r="I184" s="1085"/>
      <c r="J184" s="1085"/>
      <c r="K184" s="1085"/>
      <c r="L184" s="1085"/>
      <c r="M184" s="1085"/>
      <c r="N184" s="1085"/>
    </row>
    <row r="185" spans="1:14" x14ac:dyDescent="0.25">
      <c r="A185" s="1085"/>
      <c r="B185" s="1085"/>
      <c r="C185" s="1085"/>
      <c r="D185" s="1085"/>
      <c r="E185" s="1085"/>
      <c r="F185" s="1085"/>
      <c r="G185" s="1085"/>
      <c r="H185" s="1085"/>
      <c r="I185" s="1085"/>
      <c r="J185" s="1085"/>
      <c r="K185" s="1085"/>
      <c r="L185" s="1085"/>
      <c r="M185" s="1085"/>
      <c r="N185" s="1085"/>
    </row>
    <row r="186" spans="1:14" x14ac:dyDescent="0.25">
      <c r="A186" s="1085"/>
      <c r="B186" s="1085"/>
      <c r="C186" s="1085"/>
      <c r="D186" s="1085"/>
      <c r="E186" s="1085"/>
      <c r="F186" s="1085"/>
      <c r="G186" s="1085"/>
      <c r="H186" s="1085"/>
      <c r="I186" s="1085"/>
      <c r="J186" s="1085"/>
      <c r="K186" s="1085"/>
      <c r="L186" s="1085"/>
      <c r="M186" s="1085"/>
      <c r="N186" s="1085"/>
    </row>
    <row r="187" spans="1:14" x14ac:dyDescent="0.25">
      <c r="A187" s="1085"/>
      <c r="B187" s="1085"/>
      <c r="C187" s="1085"/>
      <c r="D187" s="1085"/>
      <c r="E187" s="1085"/>
      <c r="F187" s="1085"/>
      <c r="G187" s="1085"/>
      <c r="H187" s="1085"/>
      <c r="I187" s="1085"/>
      <c r="J187" s="1085"/>
      <c r="K187" s="1085"/>
      <c r="L187" s="1085"/>
      <c r="M187" s="1085"/>
      <c r="N187" s="1085"/>
    </row>
    <row r="188" spans="1:14" x14ac:dyDescent="0.25">
      <c r="A188" s="1085"/>
      <c r="B188" s="1085"/>
      <c r="C188" s="1085"/>
      <c r="D188" s="1085"/>
      <c r="E188" s="1085"/>
      <c r="F188" s="1085"/>
      <c r="G188" s="1085"/>
      <c r="H188" s="1085"/>
      <c r="I188" s="1085"/>
      <c r="J188" s="1085"/>
      <c r="K188" s="1085"/>
      <c r="L188" s="1085"/>
      <c r="M188" s="1085"/>
      <c r="N188" s="1085"/>
    </row>
    <row r="189" spans="1:14" x14ac:dyDescent="0.25">
      <c r="A189" s="1085"/>
      <c r="B189" s="1085"/>
      <c r="C189" s="1085"/>
      <c r="D189" s="1085"/>
      <c r="E189" s="1085"/>
      <c r="F189" s="1085"/>
      <c r="G189" s="1085"/>
      <c r="H189" s="1085"/>
      <c r="I189" s="1085"/>
      <c r="J189" s="1085"/>
      <c r="K189" s="1085"/>
      <c r="L189" s="1085"/>
      <c r="M189" s="1085"/>
      <c r="N189" s="1085"/>
    </row>
    <row r="190" spans="1:14" x14ac:dyDescent="0.25">
      <c r="A190" s="1085"/>
      <c r="B190" s="1085"/>
      <c r="C190" s="1085"/>
      <c r="D190" s="1085"/>
      <c r="E190" s="1085"/>
      <c r="F190" s="1085"/>
      <c r="G190" s="1085"/>
      <c r="H190" s="1085"/>
      <c r="I190" s="1085"/>
      <c r="J190" s="1085"/>
      <c r="K190" s="1085"/>
      <c r="L190" s="1085"/>
      <c r="M190" s="1085"/>
      <c r="N190" s="1085"/>
    </row>
    <row r="191" spans="1:14" x14ac:dyDescent="0.25">
      <c r="A191" s="1085"/>
      <c r="B191" s="1085"/>
      <c r="C191" s="1085"/>
      <c r="D191" s="1085"/>
      <c r="E191" s="1085"/>
      <c r="F191" s="1085"/>
      <c r="G191" s="1085"/>
      <c r="H191" s="1085"/>
      <c r="I191" s="1085"/>
      <c r="J191" s="1085"/>
      <c r="K191" s="1085"/>
      <c r="L191" s="1085"/>
      <c r="M191" s="1085"/>
      <c r="N191" s="1085"/>
    </row>
    <row r="192" spans="1:14" x14ac:dyDescent="0.25">
      <c r="A192" s="1085"/>
      <c r="B192" s="1085"/>
      <c r="C192" s="1085"/>
      <c r="D192" s="1085"/>
      <c r="E192" s="1085"/>
      <c r="F192" s="1085"/>
      <c r="G192" s="1085"/>
      <c r="H192" s="1085"/>
      <c r="I192" s="1085"/>
      <c r="J192" s="1085"/>
      <c r="K192" s="1085"/>
      <c r="L192" s="1085"/>
      <c r="M192" s="1085"/>
      <c r="N192" s="1085"/>
    </row>
    <row r="193" spans="1:14" x14ac:dyDescent="0.25">
      <c r="A193" s="1085"/>
      <c r="B193" s="1085"/>
      <c r="C193" s="1085"/>
      <c r="D193" s="1085"/>
      <c r="E193" s="1085"/>
      <c r="F193" s="1085"/>
      <c r="G193" s="1085"/>
      <c r="H193" s="1085"/>
      <c r="I193" s="1085"/>
      <c r="J193" s="1085"/>
      <c r="K193" s="1085"/>
      <c r="L193" s="1085"/>
      <c r="M193" s="1085"/>
      <c r="N193" s="1085"/>
    </row>
    <row r="194" spans="1:14" x14ac:dyDescent="0.25">
      <c r="A194" s="1085"/>
      <c r="B194" s="1085"/>
      <c r="C194" s="1085"/>
      <c r="D194" s="1085"/>
      <c r="E194" s="1085"/>
      <c r="F194" s="1085"/>
      <c r="G194" s="1085"/>
      <c r="H194" s="1085"/>
      <c r="I194" s="1085"/>
      <c r="J194" s="1085"/>
      <c r="K194" s="1085"/>
      <c r="L194" s="1085"/>
      <c r="M194" s="1085"/>
      <c r="N194" s="1085"/>
    </row>
    <row r="195" spans="1:14" x14ac:dyDescent="0.25">
      <c r="A195" s="1085"/>
      <c r="B195" s="1085"/>
      <c r="C195" s="1085"/>
      <c r="D195" s="1085"/>
      <c r="E195" s="1085"/>
      <c r="F195" s="1085"/>
      <c r="G195" s="1085"/>
      <c r="H195" s="1085"/>
      <c r="I195" s="1085"/>
      <c r="J195" s="1085"/>
      <c r="K195" s="1085"/>
      <c r="L195" s="1085"/>
      <c r="M195" s="1085"/>
      <c r="N195" s="1085"/>
    </row>
    <row r="196" spans="1:14" x14ac:dyDescent="0.25">
      <c r="A196" s="1085"/>
      <c r="B196" s="1085"/>
      <c r="C196" s="1085"/>
      <c r="D196" s="1085"/>
      <c r="E196" s="1085"/>
      <c r="F196" s="1085"/>
      <c r="G196" s="1085"/>
      <c r="H196" s="1085"/>
      <c r="I196" s="1085"/>
      <c r="J196" s="1085"/>
      <c r="K196" s="1085"/>
      <c r="L196" s="1085"/>
      <c r="M196" s="1085"/>
      <c r="N196" s="1085"/>
    </row>
    <row r="197" spans="1:14" x14ac:dyDescent="0.25">
      <c r="A197" s="1085"/>
      <c r="B197" s="1085"/>
      <c r="C197" s="1085"/>
      <c r="D197" s="1085"/>
      <c r="E197" s="1085"/>
      <c r="F197" s="1085"/>
      <c r="G197" s="1085"/>
      <c r="H197" s="1085"/>
      <c r="I197" s="1085"/>
      <c r="J197" s="1085"/>
      <c r="K197" s="1085"/>
      <c r="L197" s="1085"/>
      <c r="M197" s="1085"/>
      <c r="N197" s="1085"/>
    </row>
    <row r="198" spans="1:14" x14ac:dyDescent="0.25">
      <c r="A198" s="1085"/>
      <c r="B198" s="1085"/>
      <c r="C198" s="1085"/>
      <c r="D198" s="1085"/>
      <c r="E198" s="1085"/>
      <c r="F198" s="1085"/>
      <c r="G198" s="1085"/>
      <c r="H198" s="1085"/>
      <c r="I198" s="1085"/>
      <c r="J198" s="1085"/>
      <c r="K198" s="1085"/>
      <c r="L198" s="1085"/>
      <c r="M198" s="1085"/>
      <c r="N198" s="1085"/>
    </row>
    <row r="199" spans="1:14" x14ac:dyDescent="0.25">
      <c r="A199" s="1085"/>
      <c r="B199" s="1085"/>
      <c r="C199" s="1085"/>
      <c r="D199" s="1085"/>
      <c r="E199" s="1085"/>
      <c r="F199" s="1085"/>
      <c r="G199" s="1085"/>
      <c r="H199" s="1085"/>
      <c r="I199" s="1085"/>
      <c r="J199" s="1085"/>
      <c r="K199" s="1085"/>
      <c r="L199" s="1085"/>
      <c r="M199" s="1085"/>
      <c r="N199" s="1085"/>
    </row>
    <row r="200" spans="1:14" x14ac:dyDescent="0.25">
      <c r="A200" s="1085"/>
      <c r="B200" s="1085"/>
      <c r="C200" s="1085"/>
      <c r="D200" s="1085"/>
      <c r="E200" s="1085"/>
      <c r="F200" s="1085"/>
      <c r="G200" s="1085"/>
      <c r="H200" s="1085"/>
      <c r="I200" s="1085"/>
      <c r="J200" s="1085"/>
      <c r="K200" s="1085"/>
      <c r="L200" s="1085"/>
      <c r="M200" s="1085"/>
      <c r="N200" s="1085"/>
    </row>
    <row r="201" spans="1:14" x14ac:dyDescent="0.25">
      <c r="A201" s="1085"/>
      <c r="B201" s="1085"/>
      <c r="C201" s="1085"/>
      <c r="D201" s="1085"/>
      <c r="E201" s="1085"/>
      <c r="F201" s="1085"/>
      <c r="G201" s="1085"/>
      <c r="H201" s="1085"/>
      <c r="I201" s="1085"/>
      <c r="J201" s="1085"/>
      <c r="K201" s="1085"/>
      <c r="L201" s="1085"/>
      <c r="M201" s="1085"/>
      <c r="N201" s="1085"/>
    </row>
    <row r="202" spans="1:14" x14ac:dyDescent="0.25">
      <c r="A202" s="1085"/>
      <c r="B202" s="1085"/>
      <c r="C202" s="1085"/>
      <c r="D202" s="1085"/>
      <c r="E202" s="1085"/>
      <c r="F202" s="1085"/>
      <c r="G202" s="1085"/>
      <c r="H202" s="1085"/>
      <c r="I202" s="1085"/>
      <c r="J202" s="1085"/>
      <c r="K202" s="1085"/>
      <c r="L202" s="1085"/>
      <c r="M202" s="1085"/>
      <c r="N202" s="1085"/>
    </row>
    <row r="203" spans="1:14" x14ac:dyDescent="0.25">
      <c r="A203" s="1085"/>
      <c r="B203" s="1085"/>
      <c r="C203" s="1085"/>
      <c r="D203" s="1085"/>
      <c r="E203" s="1085"/>
      <c r="F203" s="1085"/>
      <c r="G203" s="1085"/>
      <c r="H203" s="1085"/>
      <c r="I203" s="1085"/>
      <c r="J203" s="1085"/>
      <c r="K203" s="1085"/>
      <c r="L203" s="1085"/>
      <c r="M203" s="1085"/>
      <c r="N203" s="1085"/>
    </row>
    <row r="204" spans="1:14" x14ac:dyDescent="0.25">
      <c r="A204" s="1085"/>
      <c r="B204" s="1085"/>
      <c r="C204" s="1085"/>
      <c r="D204" s="1085"/>
      <c r="E204" s="1085"/>
      <c r="F204" s="1085"/>
      <c r="G204" s="1085"/>
      <c r="H204" s="1085"/>
      <c r="I204" s="1085"/>
      <c r="J204" s="1085"/>
      <c r="K204" s="1085"/>
      <c r="L204" s="1085"/>
      <c r="M204" s="1085"/>
      <c r="N204" s="1085"/>
    </row>
    <row r="205" spans="1:14" x14ac:dyDescent="0.25">
      <c r="A205" s="1085"/>
      <c r="B205" s="1085"/>
      <c r="C205" s="1085"/>
      <c r="D205" s="1085"/>
      <c r="E205" s="1085"/>
      <c r="F205" s="1085"/>
      <c r="G205" s="1085"/>
      <c r="H205" s="1085"/>
      <c r="I205" s="1085"/>
      <c r="J205" s="1085"/>
      <c r="K205" s="1085"/>
      <c r="L205" s="1085"/>
      <c r="M205" s="1085"/>
      <c r="N205" s="1085"/>
    </row>
    <row r="206" spans="1:14" x14ac:dyDescent="0.25">
      <c r="A206" s="1085"/>
      <c r="B206" s="1085"/>
      <c r="C206" s="1085"/>
      <c r="D206" s="1085"/>
      <c r="E206" s="1085"/>
      <c r="F206" s="1085"/>
      <c r="G206" s="1085"/>
      <c r="H206" s="1085"/>
      <c r="I206" s="1085"/>
      <c r="J206" s="1085"/>
      <c r="K206" s="1085"/>
      <c r="L206" s="1085"/>
      <c r="M206" s="1085"/>
      <c r="N206" s="1085"/>
    </row>
    <row r="207" spans="1:14" x14ac:dyDescent="0.25">
      <c r="A207" s="1085"/>
      <c r="B207" s="1085"/>
      <c r="C207" s="1085"/>
      <c r="D207" s="1085"/>
      <c r="E207" s="1085"/>
      <c r="F207" s="1085"/>
      <c r="G207" s="1085"/>
      <c r="H207" s="1085"/>
      <c r="I207" s="1085"/>
      <c r="J207" s="1085"/>
      <c r="K207" s="1085"/>
      <c r="L207" s="1085"/>
      <c r="M207" s="1085"/>
      <c r="N207" s="1085"/>
    </row>
    <row r="208" spans="1:14" x14ac:dyDescent="0.25">
      <c r="A208" s="1085"/>
      <c r="B208" s="1085"/>
      <c r="C208" s="1085"/>
      <c r="D208" s="1085"/>
      <c r="E208" s="1085"/>
      <c r="F208" s="1085"/>
      <c r="G208" s="1085"/>
      <c r="H208" s="1085"/>
      <c r="I208" s="1085"/>
      <c r="J208" s="1085"/>
      <c r="K208" s="1085"/>
      <c r="L208" s="1085"/>
      <c r="M208" s="1085"/>
      <c r="N208" s="1085"/>
    </row>
    <row r="209" spans="1:14" x14ac:dyDescent="0.25">
      <c r="A209" s="1085"/>
      <c r="B209" s="1085"/>
      <c r="C209" s="1085"/>
      <c r="D209" s="1085"/>
      <c r="E209" s="1085"/>
      <c r="F209" s="1085"/>
      <c r="G209" s="1085"/>
      <c r="H209" s="1085"/>
      <c r="I209" s="1085"/>
      <c r="J209" s="1085"/>
      <c r="K209" s="1085"/>
      <c r="L209" s="1085"/>
      <c r="M209" s="1085"/>
      <c r="N209" s="1085"/>
    </row>
    <row r="210" spans="1:14" x14ac:dyDescent="0.25">
      <c r="A210" s="1085"/>
      <c r="B210" s="1085"/>
      <c r="C210" s="1085"/>
      <c r="D210" s="1085"/>
      <c r="E210" s="1085"/>
      <c r="F210" s="1085"/>
      <c r="G210" s="1085"/>
      <c r="H210" s="1085"/>
      <c r="I210" s="1085"/>
      <c r="J210" s="1085"/>
      <c r="K210" s="1085"/>
      <c r="L210" s="1085"/>
      <c r="M210" s="1085"/>
      <c r="N210" s="1085"/>
    </row>
    <row r="211" spans="1:14" x14ac:dyDescent="0.25">
      <c r="A211" s="1085"/>
      <c r="B211" s="1085"/>
      <c r="C211" s="1085"/>
      <c r="D211" s="1085"/>
      <c r="E211" s="1085"/>
      <c r="F211" s="1085"/>
      <c r="G211" s="1085"/>
      <c r="H211" s="1085"/>
      <c r="I211" s="1085"/>
      <c r="J211" s="1085"/>
      <c r="K211" s="1085"/>
      <c r="L211" s="1085"/>
      <c r="M211" s="1085"/>
      <c r="N211" s="1085"/>
    </row>
    <row r="212" spans="1:14" x14ac:dyDescent="0.25">
      <c r="A212" s="1085"/>
      <c r="B212" s="1085"/>
      <c r="C212" s="1085"/>
      <c r="D212" s="1085"/>
      <c r="E212" s="1085"/>
      <c r="F212" s="1085"/>
      <c r="G212" s="1085"/>
      <c r="H212" s="1085"/>
      <c r="I212" s="1085"/>
      <c r="J212" s="1086"/>
      <c r="K212" s="1086"/>
      <c r="L212" s="1086"/>
      <c r="M212" s="1086"/>
      <c r="N212" s="1086"/>
    </row>
    <row r="213" spans="1:14" x14ac:dyDescent="0.25">
      <c r="A213" s="1085"/>
      <c r="B213" s="1085"/>
      <c r="C213" s="1085"/>
      <c r="D213" s="1085"/>
      <c r="E213" s="1085"/>
      <c r="F213" s="1085"/>
      <c r="G213" s="1085"/>
      <c r="H213" s="1085"/>
      <c r="I213" s="1085"/>
    </row>
    <row r="214" spans="1:14" x14ac:dyDescent="0.25">
      <c r="A214" s="1085"/>
      <c r="B214" s="1085"/>
      <c r="C214" s="1085"/>
      <c r="D214" s="1085"/>
      <c r="E214" s="1085"/>
      <c r="F214" s="1085"/>
      <c r="G214" s="1085"/>
      <c r="H214" s="1085"/>
      <c r="I214" s="1085"/>
    </row>
    <row r="215" spans="1:14" x14ac:dyDescent="0.25">
      <c r="A215" s="1085"/>
      <c r="B215" s="1085"/>
      <c r="C215" s="1085"/>
      <c r="D215" s="1085"/>
      <c r="E215" s="1085"/>
      <c r="F215" s="1085"/>
      <c r="G215" s="1085"/>
      <c r="H215" s="1085"/>
      <c r="I215" s="1085"/>
    </row>
    <row r="216" spans="1:14" x14ac:dyDescent="0.25">
      <c r="A216" s="1085"/>
      <c r="B216" s="1085"/>
      <c r="C216" s="1085"/>
      <c r="D216" s="1085"/>
      <c r="E216" s="1085"/>
      <c r="F216" s="1085"/>
      <c r="G216" s="1085"/>
      <c r="H216" s="1085"/>
      <c r="I216" s="1085"/>
    </row>
    <row r="217" spans="1:14" x14ac:dyDescent="0.25">
      <c r="A217" s="1085"/>
      <c r="B217" s="1085"/>
      <c r="C217" s="1085"/>
      <c r="D217" s="1085"/>
      <c r="E217" s="1085"/>
      <c r="F217" s="1085"/>
      <c r="G217" s="1085"/>
      <c r="H217" s="1085"/>
      <c r="I217" s="1085"/>
    </row>
    <row r="218" spans="1:14" x14ac:dyDescent="0.25">
      <c r="A218" s="1085"/>
      <c r="B218" s="1085"/>
      <c r="C218" s="1085"/>
      <c r="D218" s="1085"/>
      <c r="E218" s="1085"/>
      <c r="F218" s="1085"/>
      <c r="G218" s="1085"/>
      <c r="H218" s="1085"/>
      <c r="I218" s="1085"/>
    </row>
    <row r="219" spans="1:14" x14ac:dyDescent="0.25">
      <c r="A219" s="1085"/>
      <c r="B219" s="1085"/>
      <c r="C219" s="1085"/>
      <c r="D219" s="1085"/>
      <c r="E219" s="1085"/>
      <c r="F219" s="1085"/>
      <c r="G219" s="1085"/>
      <c r="H219" s="1085"/>
      <c r="I219" s="1085"/>
    </row>
    <row r="220" spans="1:14" x14ac:dyDescent="0.25">
      <c r="A220" s="1085"/>
      <c r="B220" s="1085"/>
      <c r="C220" s="1085"/>
      <c r="D220" s="1085"/>
      <c r="E220" s="1085"/>
      <c r="F220" s="1085"/>
      <c r="G220" s="1085"/>
      <c r="H220" s="1085"/>
      <c r="I220" s="1085"/>
    </row>
    <row r="221" spans="1:14" x14ac:dyDescent="0.25">
      <c r="A221" s="1085"/>
      <c r="B221" s="1085"/>
      <c r="C221" s="1085"/>
      <c r="D221" s="1085"/>
      <c r="E221" s="1085"/>
      <c r="F221" s="1085"/>
      <c r="G221" s="1085"/>
      <c r="H221" s="1085"/>
      <c r="I221" s="1085"/>
    </row>
    <row r="222" spans="1:14" x14ac:dyDescent="0.25">
      <c r="A222" s="1085"/>
      <c r="B222" s="1085"/>
      <c r="C222" s="1085"/>
      <c r="D222" s="1085"/>
      <c r="E222" s="1085"/>
      <c r="F222" s="1085"/>
      <c r="G222" s="1085"/>
      <c r="H222" s="1085"/>
      <c r="I222" s="1085"/>
    </row>
    <row r="223" spans="1:14" x14ac:dyDescent="0.25">
      <c r="A223" s="1085"/>
      <c r="B223" s="1085"/>
      <c r="C223" s="1085"/>
      <c r="D223" s="1085"/>
      <c r="E223" s="1085"/>
      <c r="F223" s="1085"/>
      <c r="G223" s="1085"/>
      <c r="H223" s="1085"/>
      <c r="I223" s="1085"/>
    </row>
    <row r="224" spans="1:14" x14ac:dyDescent="0.25">
      <c r="A224" s="1085"/>
      <c r="B224" s="1085"/>
      <c r="C224" s="1085"/>
      <c r="D224" s="1085"/>
      <c r="E224" s="1085"/>
      <c r="F224" s="1085"/>
      <c r="G224" s="1085"/>
      <c r="H224" s="1085"/>
      <c r="I224" s="1085"/>
    </row>
    <row r="225" spans="1:9" x14ac:dyDescent="0.25">
      <c r="A225" s="1085"/>
      <c r="B225" s="1085"/>
      <c r="C225" s="1085"/>
      <c r="D225" s="1085"/>
      <c r="E225" s="1085"/>
      <c r="F225" s="1085"/>
      <c r="G225" s="1085"/>
      <c r="H225" s="1085"/>
      <c r="I225" s="1085"/>
    </row>
    <row r="226" spans="1:9" x14ac:dyDescent="0.25">
      <c r="A226" s="1085"/>
      <c r="B226" s="1085"/>
      <c r="C226" s="1085"/>
      <c r="D226" s="1085"/>
      <c r="E226" s="1085"/>
      <c r="F226" s="1085"/>
      <c r="G226" s="1085"/>
      <c r="H226" s="1085"/>
      <c r="I226" s="1085"/>
    </row>
    <row r="227" spans="1:9" x14ac:dyDescent="0.25">
      <c r="A227" s="1085"/>
      <c r="B227" s="1085"/>
      <c r="C227" s="1085"/>
      <c r="D227" s="1085"/>
      <c r="E227" s="1085"/>
      <c r="F227" s="1085"/>
      <c r="G227" s="1085"/>
      <c r="H227" s="1085"/>
      <c r="I227" s="1085"/>
    </row>
    <row r="228" spans="1:9" x14ac:dyDescent="0.25">
      <c r="A228" s="1085"/>
      <c r="B228" s="1085"/>
      <c r="C228" s="1085"/>
      <c r="D228" s="1085"/>
      <c r="E228" s="1085"/>
      <c r="F228" s="1085"/>
      <c r="G228" s="1085"/>
      <c r="H228" s="1085"/>
      <c r="I228" s="1085"/>
    </row>
    <row r="229" spans="1:9" x14ac:dyDescent="0.25">
      <c r="A229" s="1085"/>
      <c r="B229" s="1085"/>
      <c r="C229" s="1085"/>
      <c r="D229" s="1085"/>
      <c r="E229" s="1085"/>
      <c r="F229" s="1085"/>
      <c r="G229" s="1085"/>
      <c r="H229" s="1085"/>
      <c r="I229" s="1085"/>
    </row>
    <row r="230" spans="1:9" x14ac:dyDescent="0.25">
      <c r="A230" s="1085"/>
      <c r="B230" s="1085"/>
      <c r="C230" s="1085"/>
      <c r="D230" s="1085"/>
      <c r="E230" s="1085"/>
      <c r="F230" s="1085"/>
      <c r="G230" s="1085"/>
      <c r="H230" s="1085"/>
      <c r="I230" s="1085"/>
    </row>
    <row r="231" spans="1:9" x14ac:dyDescent="0.25">
      <c r="A231" s="1085"/>
      <c r="B231" s="1085"/>
      <c r="C231" s="1085"/>
      <c r="D231" s="1085"/>
      <c r="E231" s="1085"/>
      <c r="F231" s="1085"/>
      <c r="G231" s="1085"/>
      <c r="H231" s="1085"/>
      <c r="I231" s="1085"/>
    </row>
    <row r="232" spans="1:9" x14ac:dyDescent="0.25">
      <c r="A232" s="1085"/>
      <c r="B232" s="1085"/>
      <c r="C232" s="1085"/>
      <c r="D232" s="1085"/>
      <c r="E232" s="1085"/>
      <c r="F232" s="1085"/>
      <c r="G232" s="1085"/>
      <c r="H232" s="1085"/>
      <c r="I232" s="1085"/>
    </row>
    <row r="233" spans="1:9" x14ac:dyDescent="0.25">
      <c r="A233" s="1085"/>
      <c r="B233" s="1085"/>
      <c r="C233" s="1085"/>
      <c r="D233" s="1085"/>
      <c r="E233" s="1085"/>
      <c r="F233" s="1085"/>
      <c r="G233" s="1085"/>
      <c r="H233" s="1085"/>
      <c r="I233" s="1085"/>
    </row>
    <row r="234" spans="1:9" x14ac:dyDescent="0.25">
      <c r="A234" s="1085"/>
      <c r="B234" s="1085"/>
      <c r="C234" s="1085"/>
      <c r="D234" s="1085"/>
      <c r="E234" s="1085"/>
      <c r="F234" s="1085"/>
      <c r="G234" s="1085"/>
      <c r="H234" s="1085"/>
      <c r="I234" s="1085"/>
    </row>
    <row r="235" spans="1:9" x14ac:dyDescent="0.25">
      <c r="A235" s="1085"/>
      <c r="B235" s="1085"/>
      <c r="C235" s="1085"/>
      <c r="D235" s="1085"/>
      <c r="E235" s="1085"/>
      <c r="F235" s="1085"/>
      <c r="G235" s="1085"/>
      <c r="H235" s="1085"/>
      <c r="I235" s="1085"/>
    </row>
    <row r="236" spans="1:9" x14ac:dyDescent="0.25">
      <c r="A236" s="1085"/>
      <c r="B236" s="1085"/>
      <c r="C236" s="1085"/>
      <c r="D236" s="1085"/>
      <c r="E236" s="1085"/>
      <c r="F236" s="1085"/>
      <c r="G236" s="1085"/>
      <c r="H236" s="1085"/>
      <c r="I236" s="1085"/>
    </row>
    <row r="237" spans="1:9" x14ac:dyDescent="0.25">
      <c r="A237" s="1085"/>
      <c r="B237" s="1085"/>
      <c r="C237" s="1085"/>
      <c r="D237" s="1085"/>
      <c r="E237" s="1085"/>
      <c r="F237" s="1085"/>
      <c r="G237" s="1085"/>
      <c r="H237" s="1085"/>
      <c r="I237" s="1085"/>
    </row>
    <row r="238" spans="1:9" x14ac:dyDescent="0.25">
      <c r="A238" s="1085"/>
      <c r="B238" s="1085"/>
      <c r="C238" s="1085"/>
      <c r="D238" s="1085"/>
      <c r="E238" s="1085"/>
      <c r="F238" s="1085"/>
      <c r="G238" s="1085"/>
      <c r="H238" s="1085"/>
      <c r="I238" s="1085"/>
    </row>
    <row r="239" spans="1:9" x14ac:dyDescent="0.25">
      <c r="A239" s="1085"/>
      <c r="B239" s="1085"/>
      <c r="C239" s="1085"/>
      <c r="D239" s="1085"/>
      <c r="E239" s="1085"/>
      <c r="F239" s="1085"/>
      <c r="G239" s="1085"/>
      <c r="H239" s="1085"/>
      <c r="I239" s="1085"/>
    </row>
    <row r="240" spans="1:9" x14ac:dyDescent="0.25">
      <c r="A240" s="1085"/>
      <c r="B240" s="1085"/>
      <c r="C240" s="1085"/>
      <c r="D240" s="1085"/>
      <c r="E240" s="1085"/>
      <c r="F240" s="1085"/>
      <c r="G240" s="1085"/>
      <c r="H240" s="1085"/>
      <c r="I240" s="1085"/>
    </row>
    <row r="241" spans="1:9" x14ac:dyDescent="0.25">
      <c r="A241" s="1085"/>
      <c r="B241" s="1085"/>
      <c r="C241" s="1085"/>
      <c r="D241" s="1085"/>
      <c r="E241" s="1085"/>
      <c r="F241" s="1085"/>
      <c r="G241" s="1085"/>
      <c r="H241" s="1085"/>
      <c r="I241" s="1085"/>
    </row>
    <row r="242" spans="1:9" x14ac:dyDescent="0.25">
      <c r="A242" s="1085"/>
      <c r="B242" s="1085"/>
      <c r="C242" s="1085"/>
      <c r="D242" s="1085"/>
      <c r="E242" s="1085"/>
      <c r="F242" s="1085"/>
      <c r="G242" s="1085"/>
      <c r="H242" s="1085"/>
      <c r="I242" s="1085"/>
    </row>
    <row r="243" spans="1:9" x14ac:dyDescent="0.25">
      <c r="A243" s="1085"/>
      <c r="B243" s="1085"/>
      <c r="C243" s="1085"/>
      <c r="D243" s="1085"/>
      <c r="E243" s="1085"/>
      <c r="F243" s="1085"/>
      <c r="G243" s="1085"/>
      <c r="H243" s="1085"/>
      <c r="I243" s="1085"/>
    </row>
    <row r="244" spans="1:9" x14ac:dyDescent="0.25">
      <c r="A244" s="1085"/>
      <c r="B244" s="1085"/>
      <c r="C244" s="1085"/>
      <c r="D244" s="1085"/>
      <c r="E244" s="1085"/>
      <c r="F244" s="1085"/>
      <c r="G244" s="1085"/>
      <c r="H244" s="1085"/>
      <c r="I244" s="1085"/>
    </row>
    <row r="245" spans="1:9" x14ac:dyDescent="0.25">
      <c r="A245" s="1085"/>
      <c r="B245" s="1085"/>
      <c r="C245" s="1085"/>
      <c r="D245" s="1085"/>
      <c r="E245" s="1085"/>
      <c r="F245" s="1085"/>
      <c r="G245" s="1085"/>
      <c r="H245" s="1085"/>
      <c r="I245" s="1085"/>
    </row>
    <row r="246" spans="1:9" x14ac:dyDescent="0.25">
      <c r="A246" s="1085"/>
      <c r="B246" s="1085"/>
      <c r="C246" s="1085"/>
      <c r="D246" s="1085"/>
      <c r="E246" s="1085"/>
      <c r="F246" s="1085"/>
      <c r="G246" s="1085"/>
      <c r="H246" s="1085"/>
      <c r="I246" s="1085"/>
    </row>
    <row r="247" spans="1:9" x14ac:dyDescent="0.25">
      <c r="A247" s="1085"/>
      <c r="B247" s="1085"/>
      <c r="C247" s="1085"/>
      <c r="D247" s="1085"/>
      <c r="E247" s="1085"/>
      <c r="F247" s="1085"/>
      <c r="G247" s="1085"/>
      <c r="H247" s="1085"/>
      <c r="I247" s="1085"/>
    </row>
    <row r="248" spans="1:9" x14ac:dyDescent="0.25">
      <c r="A248" s="1085"/>
      <c r="B248" s="1085"/>
      <c r="C248" s="1085"/>
      <c r="D248" s="1085"/>
      <c r="E248" s="1085"/>
      <c r="F248" s="1085"/>
      <c r="G248" s="1085"/>
      <c r="H248" s="1085"/>
      <c r="I248" s="1085"/>
    </row>
    <row r="249" spans="1:9" x14ac:dyDescent="0.25">
      <c r="A249" s="1085"/>
      <c r="B249" s="1085"/>
      <c r="C249" s="1085"/>
      <c r="D249" s="1085"/>
      <c r="E249" s="1085"/>
      <c r="F249" s="1085"/>
      <c r="G249" s="1085"/>
      <c r="H249" s="1085"/>
      <c r="I249" s="1085"/>
    </row>
    <row r="250" spans="1:9" x14ac:dyDescent="0.25">
      <c r="A250" s="1085"/>
      <c r="B250" s="1085"/>
      <c r="C250" s="1085"/>
      <c r="D250" s="1085"/>
      <c r="E250" s="1085"/>
      <c r="F250" s="1085"/>
      <c r="G250" s="1085"/>
      <c r="H250" s="1085"/>
      <c r="I250" s="1085"/>
    </row>
    <row r="251" spans="1:9" x14ac:dyDescent="0.25">
      <c r="A251" s="1085"/>
      <c r="B251" s="1085"/>
      <c r="C251" s="1085"/>
      <c r="D251" s="1085"/>
      <c r="E251" s="1085"/>
      <c r="F251" s="1085"/>
      <c r="G251" s="1085"/>
      <c r="H251" s="1085"/>
      <c r="I251" s="1085"/>
    </row>
    <row r="252" spans="1:9" x14ac:dyDescent="0.25">
      <c r="A252" s="1085"/>
      <c r="B252" s="1085"/>
      <c r="C252" s="1085"/>
      <c r="D252" s="1085"/>
      <c r="E252" s="1085"/>
      <c r="F252" s="1085"/>
      <c r="G252" s="1085"/>
      <c r="H252" s="1085"/>
      <c r="I252" s="1085"/>
    </row>
    <row r="253" spans="1:9" x14ac:dyDescent="0.25">
      <c r="A253" s="1085"/>
      <c r="B253" s="1085"/>
      <c r="C253" s="1085"/>
      <c r="D253" s="1085"/>
      <c r="E253" s="1085"/>
      <c r="F253" s="1085"/>
      <c r="G253" s="1085"/>
      <c r="H253" s="1085"/>
      <c r="I253" s="1085"/>
    </row>
    <row r="254" spans="1:9" x14ac:dyDescent="0.25">
      <c r="A254" s="1085"/>
      <c r="B254" s="1085"/>
      <c r="C254" s="1085"/>
      <c r="D254" s="1085"/>
      <c r="E254" s="1085"/>
      <c r="F254" s="1085"/>
      <c r="G254" s="1085"/>
      <c r="H254" s="1085"/>
      <c r="I254" s="1085"/>
    </row>
    <row r="255" spans="1:9" x14ac:dyDescent="0.25">
      <c r="A255" s="1085"/>
      <c r="B255" s="1085"/>
      <c r="C255" s="1085"/>
      <c r="D255" s="1085"/>
      <c r="E255" s="1085"/>
      <c r="F255" s="1085"/>
      <c r="G255" s="1085"/>
      <c r="H255" s="1085"/>
      <c r="I255" s="1085"/>
    </row>
    <row r="256" spans="1:9" x14ac:dyDescent="0.25">
      <c r="A256" s="1085"/>
      <c r="B256" s="1085"/>
      <c r="C256" s="1085"/>
      <c r="D256" s="1085"/>
      <c r="E256" s="1085"/>
      <c r="F256" s="1085"/>
      <c r="G256" s="1085"/>
      <c r="H256" s="1085"/>
      <c r="I256" s="1085"/>
    </row>
    <row r="257" spans="1:9" x14ac:dyDescent="0.25">
      <c r="A257" s="1085"/>
      <c r="B257" s="1085"/>
      <c r="C257" s="1085"/>
      <c r="D257" s="1085"/>
      <c r="E257" s="1085"/>
      <c r="F257" s="1085"/>
      <c r="G257" s="1085"/>
      <c r="H257" s="1085"/>
      <c r="I257" s="1085"/>
    </row>
    <row r="258" spans="1:9" x14ac:dyDescent="0.25">
      <c r="A258" s="1085"/>
      <c r="B258" s="1085"/>
      <c r="C258" s="1085"/>
      <c r="D258" s="1085"/>
      <c r="E258" s="1085"/>
      <c r="F258" s="1085"/>
      <c r="G258" s="1085"/>
      <c r="H258" s="1085"/>
      <c r="I258" s="1085"/>
    </row>
    <row r="259" spans="1:9" x14ac:dyDescent="0.25">
      <c r="A259" s="1085"/>
      <c r="B259" s="1085"/>
      <c r="C259" s="1085"/>
      <c r="D259" s="1085"/>
      <c r="E259" s="1085"/>
      <c r="F259" s="1085"/>
      <c r="G259" s="1085"/>
      <c r="H259" s="1085"/>
      <c r="I259" s="1085"/>
    </row>
    <row r="260" spans="1:9" x14ac:dyDescent="0.25">
      <c r="A260" s="1085"/>
      <c r="B260" s="1085"/>
      <c r="C260" s="1085"/>
      <c r="D260" s="1085"/>
      <c r="E260" s="1085"/>
      <c r="F260" s="1085"/>
      <c r="G260" s="1085"/>
      <c r="H260" s="1085"/>
      <c r="I260" s="1085"/>
    </row>
    <row r="261" spans="1:9" x14ac:dyDescent="0.25">
      <c r="A261" s="1085"/>
      <c r="B261" s="1085"/>
      <c r="C261" s="1085"/>
      <c r="D261" s="1085"/>
      <c r="E261" s="1085"/>
      <c r="F261" s="1085"/>
      <c r="G261" s="1085"/>
      <c r="H261" s="1085"/>
      <c r="I261" s="1085"/>
    </row>
    <row r="262" spans="1:9" x14ac:dyDescent="0.25">
      <c r="A262" s="1085"/>
      <c r="B262" s="1085"/>
      <c r="C262" s="1085"/>
      <c r="D262" s="1085"/>
      <c r="E262" s="1085"/>
      <c r="F262" s="1085"/>
      <c r="G262" s="1085"/>
      <c r="H262" s="1085"/>
      <c r="I262" s="1085"/>
    </row>
    <row r="263" spans="1:9" x14ac:dyDescent="0.25">
      <c r="A263" s="1085"/>
      <c r="B263" s="1085"/>
      <c r="C263" s="1085"/>
      <c r="D263" s="1085"/>
      <c r="E263" s="1085"/>
      <c r="F263" s="1085"/>
      <c r="G263" s="1085"/>
      <c r="H263" s="1085"/>
      <c r="I263" s="1085"/>
    </row>
    <row r="264" spans="1:9" x14ac:dyDescent="0.25">
      <c r="A264" s="1085"/>
      <c r="B264" s="1085"/>
      <c r="C264" s="1085"/>
      <c r="D264" s="1085"/>
      <c r="E264" s="1085"/>
      <c r="F264" s="1085"/>
      <c r="G264" s="1085"/>
      <c r="H264" s="1085"/>
      <c r="I264" s="1085"/>
    </row>
    <row r="265" spans="1:9" x14ac:dyDescent="0.25">
      <c r="A265" s="1085"/>
      <c r="B265" s="1085"/>
      <c r="C265" s="1085"/>
      <c r="D265" s="1085"/>
      <c r="E265" s="1085"/>
      <c r="F265" s="1085"/>
      <c r="G265" s="1085"/>
      <c r="H265" s="1085"/>
      <c r="I265" s="1085"/>
    </row>
    <row r="266" spans="1:9" x14ac:dyDescent="0.25">
      <c r="A266" s="1085"/>
      <c r="B266" s="1085"/>
      <c r="C266" s="1085"/>
      <c r="D266" s="1085"/>
      <c r="E266" s="1085"/>
      <c r="F266" s="1085"/>
      <c r="G266" s="1085"/>
      <c r="H266" s="1085"/>
      <c r="I266" s="1085"/>
    </row>
    <row r="267" spans="1:9" x14ac:dyDescent="0.25">
      <c r="A267" s="1085"/>
      <c r="B267" s="1085"/>
      <c r="C267" s="1085"/>
      <c r="D267" s="1085"/>
      <c r="E267" s="1085"/>
      <c r="F267" s="1085"/>
      <c r="G267" s="1085"/>
      <c r="H267" s="1085"/>
      <c r="I267" s="1085"/>
    </row>
    <row r="268" spans="1:9" x14ac:dyDescent="0.25">
      <c r="A268" s="1085"/>
      <c r="B268" s="1085"/>
      <c r="C268" s="1085"/>
      <c r="D268" s="1085"/>
      <c r="E268" s="1085"/>
      <c r="F268" s="1085"/>
      <c r="G268" s="1085"/>
      <c r="H268" s="1085"/>
      <c r="I268" s="1085"/>
    </row>
    <row r="269" spans="1:9" x14ac:dyDescent="0.25">
      <c r="A269" s="1085"/>
      <c r="B269" s="1085"/>
      <c r="C269" s="1085"/>
      <c r="D269" s="1085"/>
      <c r="E269" s="1085"/>
      <c r="F269" s="1085"/>
      <c r="G269" s="1085"/>
      <c r="H269" s="1085"/>
      <c r="I269" s="1085"/>
    </row>
    <row r="270" spans="1:9" x14ac:dyDescent="0.25">
      <c r="A270" s="1085"/>
      <c r="B270" s="1085"/>
      <c r="C270" s="1085"/>
      <c r="D270" s="1085"/>
      <c r="E270" s="1085"/>
      <c r="F270" s="1085"/>
      <c r="G270" s="1085"/>
      <c r="H270" s="1085"/>
      <c r="I270" s="1085"/>
    </row>
    <row r="271" spans="1:9" x14ac:dyDescent="0.25">
      <c r="A271" s="1085"/>
      <c r="B271" s="1085"/>
      <c r="C271" s="1085"/>
      <c r="D271" s="1085"/>
      <c r="E271" s="1085"/>
      <c r="F271" s="1085"/>
      <c r="G271" s="1085"/>
      <c r="H271" s="1085"/>
      <c r="I271" s="1085"/>
    </row>
    <row r="272" spans="1:9" x14ac:dyDescent="0.25">
      <c r="A272" s="1085"/>
      <c r="B272" s="1085"/>
      <c r="C272" s="1085"/>
      <c r="D272" s="1085"/>
      <c r="E272" s="1085"/>
      <c r="F272" s="1085"/>
      <c r="G272" s="1085"/>
      <c r="H272" s="1085"/>
      <c r="I272" s="1085"/>
    </row>
    <row r="273" spans="1:9" x14ac:dyDescent="0.25">
      <c r="A273" s="1085"/>
      <c r="B273" s="1085"/>
      <c r="C273" s="1085"/>
      <c r="D273" s="1085"/>
      <c r="E273" s="1085"/>
      <c r="F273" s="1085"/>
      <c r="G273" s="1085"/>
      <c r="H273" s="1085"/>
      <c r="I273" s="1085"/>
    </row>
    <row r="274" spans="1:9" x14ac:dyDescent="0.25">
      <c r="A274" s="1085"/>
      <c r="B274" s="1085"/>
      <c r="C274" s="1085"/>
      <c r="D274" s="1085"/>
      <c r="E274" s="1085"/>
      <c r="F274" s="1085"/>
      <c r="G274" s="1085"/>
      <c r="H274" s="1085"/>
      <c r="I274" s="1085"/>
    </row>
    <row r="275" spans="1:9" x14ac:dyDescent="0.25">
      <c r="A275" s="1085"/>
      <c r="B275" s="1085"/>
      <c r="C275" s="1085"/>
      <c r="D275" s="1085"/>
      <c r="E275" s="1085"/>
      <c r="F275" s="1085"/>
      <c r="G275" s="1085"/>
      <c r="H275" s="1085"/>
      <c r="I275" s="1085"/>
    </row>
    <row r="276" spans="1:9" x14ac:dyDescent="0.25">
      <c r="A276" s="1085"/>
      <c r="B276" s="1085"/>
      <c r="C276" s="1085"/>
      <c r="D276" s="1085"/>
      <c r="E276" s="1085"/>
      <c r="F276" s="1085"/>
      <c r="G276" s="1085"/>
      <c r="H276" s="1085"/>
      <c r="I276" s="1085"/>
    </row>
    <row r="277" spans="1:9" x14ac:dyDescent="0.25">
      <c r="A277" s="1085"/>
      <c r="B277" s="1085"/>
      <c r="C277" s="1085"/>
      <c r="D277" s="1085"/>
      <c r="E277" s="1085"/>
      <c r="F277" s="1085"/>
      <c r="G277" s="1085"/>
      <c r="H277" s="1085"/>
      <c r="I277" s="1085"/>
    </row>
    <row r="278" spans="1:9" x14ac:dyDescent="0.25">
      <c r="A278" s="1085"/>
      <c r="B278" s="1085"/>
      <c r="C278" s="1085"/>
      <c r="D278" s="1085"/>
      <c r="E278" s="1085"/>
      <c r="F278" s="1085"/>
      <c r="G278" s="1085"/>
      <c r="H278" s="1085"/>
      <c r="I278" s="1085"/>
    </row>
    <row r="279" spans="1:9" x14ac:dyDescent="0.25">
      <c r="A279" s="1085"/>
      <c r="B279" s="1085"/>
      <c r="C279" s="1085"/>
      <c r="D279" s="1085"/>
      <c r="E279" s="1085"/>
      <c r="F279" s="1085"/>
      <c r="G279" s="1085"/>
      <c r="H279" s="1085"/>
      <c r="I279" s="1085"/>
    </row>
    <row r="280" spans="1:9" x14ac:dyDescent="0.25">
      <c r="A280" s="1085"/>
      <c r="B280" s="1085"/>
      <c r="C280" s="1085"/>
      <c r="D280" s="1085"/>
      <c r="E280" s="1085"/>
      <c r="F280" s="1085"/>
      <c r="G280" s="1085"/>
      <c r="H280" s="1085"/>
      <c r="I280" s="1085"/>
    </row>
    <row r="281" spans="1:9" x14ac:dyDescent="0.25">
      <c r="A281" s="1085"/>
      <c r="B281" s="1085"/>
      <c r="C281" s="1085"/>
      <c r="D281" s="1085"/>
      <c r="E281" s="1085"/>
      <c r="F281" s="1085"/>
      <c r="G281" s="1085"/>
      <c r="H281" s="1085"/>
      <c r="I281" s="1085"/>
    </row>
    <row r="282" spans="1:9" x14ac:dyDescent="0.25">
      <c r="A282" s="1085"/>
      <c r="B282" s="1085"/>
      <c r="C282" s="1085"/>
      <c r="D282" s="1085"/>
      <c r="E282" s="1085"/>
      <c r="F282" s="1085"/>
      <c r="G282" s="1085"/>
      <c r="H282" s="1085"/>
      <c r="I282" s="1085"/>
    </row>
    <row r="283" spans="1:9" x14ac:dyDescent="0.25">
      <c r="A283" s="1085"/>
      <c r="B283" s="1085"/>
      <c r="C283" s="1085"/>
      <c r="D283" s="1085"/>
      <c r="E283" s="1085"/>
      <c r="F283" s="1085"/>
      <c r="G283" s="1085"/>
      <c r="H283" s="1085"/>
      <c r="I283" s="1085"/>
    </row>
  </sheetData>
  <hyperlinks>
    <hyperlink ref="B4" location="BR_A0001" display="BR_A0001" xr:uid="{00000000-0004-0000-8B00-000000000000}"/>
    <hyperlink ref="E3" location="dSU_1500_001" display="Drawing" xr:uid="{00000000-0004-0000-8B00-000001000000}"/>
    <hyperlink ref="F2" location="SU_A1300_BOM" display="Back to BOM" xr:uid="{00000000-0004-0000-8B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4" fitToHeight="99" orientation="landscape" r:id="rId1"/>
  <headerFooter>
    <oddFooter>Page &amp;P</oddFooter>
  </headerFooter>
  <drawing r:id="rId2"/>
</worksheet>
</file>

<file path=xl/worksheets/sheet1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C00-000000000000}">
  <sheetPr>
    <tabColor rgb="FFFFFF66"/>
    <pageSetUpPr fitToPage="1"/>
  </sheetPr>
  <dimension ref="A1:B1"/>
  <sheetViews>
    <sheetView topLeftCell="A10" zoomScaleNormal="100" zoomScalePageLayoutView="70" workbookViewId="0">
      <selection activeCell="E2" sqref="E2"/>
    </sheetView>
  </sheetViews>
  <sheetFormatPr baseColWidth="10" defaultRowHeight="15" x14ac:dyDescent="0.25"/>
  <cols>
    <col min="1" max="1" width="12.140625" customWidth="1"/>
  </cols>
  <sheetData>
    <row r="1" spans="1:2" x14ac:dyDescent="0.25">
      <c r="A1" t="s">
        <v>349</v>
      </c>
      <c r="B1" s="275"/>
    </row>
  </sheetData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D00-000000000000}">
  <sheetPr>
    <tabColor rgb="FFFFFF66"/>
    <pageSetUpPr fitToPage="1"/>
  </sheetPr>
  <dimension ref="A1:P40"/>
  <sheetViews>
    <sheetView zoomScale="70" zoomScaleNormal="70" zoomScalePageLayoutView="70" workbookViewId="0">
      <selection activeCell="E2" sqref="E2"/>
    </sheetView>
  </sheetViews>
  <sheetFormatPr baseColWidth="10" defaultRowHeight="15" x14ac:dyDescent="0.25"/>
  <cols>
    <col min="1" max="1" width="11.5703125" customWidth="1"/>
    <col min="2" max="2" width="34.85546875" customWidth="1"/>
    <col min="3" max="3" width="36.42578125" customWidth="1"/>
    <col min="5" max="5" width="15.28515625" customWidth="1"/>
    <col min="7" max="7" width="43.28515625" customWidth="1"/>
    <col min="9" max="9" width="27.42578125" customWidth="1"/>
  </cols>
  <sheetData>
    <row r="1" spans="1:16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SU_13002_m+SU_13002_p</f>
        <v>0.36380753801370747</v>
      </c>
      <c r="O2" s="62"/>
    </row>
    <row r="3" spans="1:16" x14ac:dyDescent="0.25">
      <c r="A3" s="99" t="s">
        <v>3</v>
      </c>
      <c r="B3" s="16" t="str">
        <f>'SU A1300'!B3</f>
        <v>Suspension &amp; Shocks</v>
      </c>
      <c r="C3" s="56"/>
      <c r="D3" s="99" t="s">
        <v>6</v>
      </c>
      <c r="E3" s="275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4</v>
      </c>
      <c r="O3" s="62"/>
    </row>
    <row r="4" spans="1:16" x14ac:dyDescent="0.25">
      <c r="A4" s="99" t="s">
        <v>5</v>
      </c>
      <c r="B4" s="87" t="str">
        <f>'SU A1300'!B4</f>
        <v>Rear Pushrod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25">
      <c r="A5" s="99" t="s">
        <v>15</v>
      </c>
      <c r="B5" s="28" t="s">
        <v>544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1.4552301520548299</v>
      </c>
      <c r="O5" s="62"/>
    </row>
    <row r="6" spans="1:16" x14ac:dyDescent="0.25">
      <c r="A6" s="99" t="s">
        <v>7</v>
      </c>
      <c r="B6" t="s">
        <v>545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103" t="s">
        <v>23</v>
      </c>
      <c r="G10" s="1103" t="s">
        <v>24</v>
      </c>
      <c r="H10" s="1103" t="s">
        <v>25</v>
      </c>
      <c r="I10" s="1103" t="s">
        <v>26</v>
      </c>
      <c r="J10" s="1103" t="s">
        <v>27</v>
      </c>
      <c r="K10" s="1103" t="s">
        <v>28</v>
      </c>
      <c r="L10" s="1103" t="s">
        <v>29</v>
      </c>
      <c r="M10" s="1103" t="s">
        <v>17</v>
      </c>
      <c r="N10" s="1103" t="s">
        <v>18</v>
      </c>
      <c r="O10" s="62"/>
    </row>
    <row r="11" spans="1:16" x14ac:dyDescent="0.25">
      <c r="A11" s="1104">
        <v>10</v>
      </c>
      <c r="B11" s="1105" t="s">
        <v>301</v>
      </c>
      <c r="C11" s="1106" t="s">
        <v>416</v>
      </c>
      <c r="D11" s="1107">
        <v>2.25</v>
      </c>
      <c r="E11" s="1108">
        <f>L11*J11*K11</f>
        <v>9.4700168949810731E-3</v>
      </c>
      <c r="F11" s="1106" t="s">
        <v>141</v>
      </c>
      <c r="G11" s="1106"/>
      <c r="H11" s="1109"/>
      <c r="I11" s="916" t="s">
        <v>415</v>
      </c>
      <c r="J11" s="966">
        <f>PI()*8*8/1000000</f>
        <v>2.0106192982974677E-4</v>
      </c>
      <c r="K11" s="966">
        <v>6.0000000000000001E-3</v>
      </c>
      <c r="L11" s="669">
        <v>7850</v>
      </c>
      <c r="M11" s="23">
        <v>1</v>
      </c>
      <c r="N11" s="277">
        <f>IF(J11="",D11*M11,D11*J11*K11*L11*M11)</f>
        <v>2.1307538013707415E-2</v>
      </c>
      <c r="O11" s="66"/>
      <c r="P11" s="22"/>
    </row>
    <row r="12" spans="1:16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2.1307538013707415E-2</v>
      </c>
      <c r="O12" s="62"/>
    </row>
    <row r="13" spans="1:16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6" x14ac:dyDescent="0.25">
      <c r="A15" s="1115">
        <v>10</v>
      </c>
      <c r="B15" s="1070" t="s">
        <v>344</v>
      </c>
      <c r="C15" s="1070"/>
      <c r="D15" s="1068">
        <v>1.3</v>
      </c>
      <c r="E15" s="1070" t="s">
        <v>35</v>
      </c>
      <c r="F15" s="1070">
        <v>1</v>
      </c>
      <c r="G15" s="1070" t="s">
        <v>525</v>
      </c>
      <c r="H15" s="1070">
        <f>1/8</f>
        <v>0.125</v>
      </c>
      <c r="I15" s="1068">
        <f>D15*F15*H15</f>
        <v>0.16250000000000001</v>
      </c>
      <c r="J15" s="58"/>
      <c r="K15" s="58"/>
      <c r="L15" s="58"/>
      <c r="M15" s="58"/>
      <c r="N15" s="58"/>
      <c r="O15" s="68"/>
      <c r="P15" s="25"/>
    </row>
    <row r="16" spans="1:16" x14ac:dyDescent="0.25">
      <c r="A16" s="1115">
        <v>20</v>
      </c>
      <c r="B16" s="1070" t="s">
        <v>92</v>
      </c>
      <c r="C16" s="1070"/>
      <c r="D16" s="1068">
        <v>0.04</v>
      </c>
      <c r="E16" s="1070" t="s">
        <v>93</v>
      </c>
      <c r="F16" s="1070">
        <v>1.5</v>
      </c>
      <c r="G16" s="1070" t="s">
        <v>339</v>
      </c>
      <c r="H16" s="1070">
        <v>3</v>
      </c>
      <c r="I16" s="1068">
        <f>D16*F16*H16</f>
        <v>0.18</v>
      </c>
      <c r="J16" s="56"/>
      <c r="K16" s="56"/>
      <c r="L16" s="56"/>
      <c r="M16" s="56"/>
      <c r="N16" s="56"/>
      <c r="O16" s="62"/>
    </row>
    <row r="17" spans="1:16" x14ac:dyDescent="0.25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0.34250000000000003</v>
      </c>
      <c r="J17" s="24"/>
      <c r="K17" s="24"/>
      <c r="L17" s="24"/>
      <c r="M17" s="24"/>
      <c r="N17" s="24"/>
      <c r="O17" s="62"/>
    </row>
    <row r="18" spans="1:16" ht="15.75" thickBot="1" x14ac:dyDescent="0.3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  <row r="22" spans="1:16" x14ac:dyDescent="0.25">
      <c r="A22" s="929"/>
      <c r="B22" s="929"/>
      <c r="C22" s="929"/>
      <c r="D22" s="929"/>
      <c r="E22" s="929"/>
      <c r="F22" s="929"/>
      <c r="G22" s="929"/>
      <c r="H22" s="929"/>
      <c r="I22" s="929"/>
      <c r="J22" s="929"/>
      <c r="K22" s="929"/>
      <c r="L22" s="929"/>
      <c r="M22" s="929"/>
      <c r="N22" s="929"/>
      <c r="O22" s="929"/>
      <c r="P22" s="929"/>
    </row>
    <row r="23" spans="1:16" x14ac:dyDescent="0.25">
      <c r="A23" s="929"/>
      <c r="B23" s="934"/>
      <c r="C23" s="930"/>
      <c r="D23" s="930"/>
      <c r="E23" s="930"/>
      <c r="F23" s="930"/>
      <c r="G23" s="950"/>
      <c r="H23" s="930"/>
      <c r="I23" s="930"/>
      <c r="J23" s="930"/>
      <c r="K23" s="953"/>
      <c r="L23" s="933"/>
      <c r="M23" s="930"/>
      <c r="N23" s="934"/>
      <c r="O23" s="941"/>
      <c r="P23" s="929"/>
    </row>
    <row r="24" spans="1:16" x14ac:dyDescent="0.25">
      <c r="A24" s="929"/>
      <c r="B24" s="934"/>
      <c r="C24" s="930"/>
      <c r="D24" s="1116"/>
      <c r="E24" s="950"/>
      <c r="F24" s="930"/>
      <c r="G24" s="930"/>
      <c r="H24" s="930"/>
      <c r="I24" s="930"/>
      <c r="J24" s="930"/>
      <c r="K24" s="930"/>
      <c r="L24" s="930"/>
      <c r="M24" s="930"/>
      <c r="N24" s="934"/>
      <c r="O24" s="951"/>
      <c r="P24" s="929"/>
    </row>
    <row r="25" spans="1:16" x14ac:dyDescent="0.25">
      <c r="A25" s="929"/>
      <c r="B25" s="934"/>
      <c r="C25" s="950"/>
      <c r="D25" s="930"/>
      <c r="E25" s="934"/>
      <c r="F25" s="930"/>
      <c r="G25" s="930"/>
      <c r="H25" s="930"/>
      <c r="I25" s="930"/>
      <c r="J25" s="930"/>
      <c r="K25" s="934"/>
      <c r="L25" s="930"/>
      <c r="M25" s="930"/>
      <c r="N25" s="930"/>
      <c r="O25" s="1117"/>
      <c r="P25" s="929"/>
    </row>
    <row r="26" spans="1:16" x14ac:dyDescent="0.25">
      <c r="A26" s="929"/>
      <c r="B26" s="934"/>
      <c r="C26" s="949"/>
      <c r="D26" s="930"/>
      <c r="E26" s="934"/>
      <c r="F26" s="930"/>
      <c r="G26" s="930"/>
      <c r="H26" s="930"/>
      <c r="I26" s="930"/>
      <c r="J26" s="930"/>
      <c r="K26" s="934"/>
      <c r="L26" s="930"/>
      <c r="M26" s="930"/>
      <c r="N26" s="934"/>
      <c r="O26" s="941"/>
      <c r="P26" s="929"/>
    </row>
    <row r="27" spans="1:16" x14ac:dyDescent="0.25">
      <c r="A27" s="929"/>
      <c r="B27" s="934"/>
      <c r="C27" s="948"/>
      <c r="D27" s="930"/>
      <c r="E27" s="930"/>
      <c r="F27" s="930"/>
      <c r="G27" s="930"/>
      <c r="H27" s="930"/>
      <c r="I27" s="930"/>
      <c r="J27" s="930"/>
      <c r="K27" s="934"/>
      <c r="L27" s="930"/>
      <c r="M27" s="930"/>
      <c r="N27" s="930"/>
      <c r="O27" s="930"/>
      <c r="P27" s="929"/>
    </row>
    <row r="28" spans="1:16" x14ac:dyDescent="0.25">
      <c r="A28" s="929"/>
      <c r="B28" s="934"/>
      <c r="C28" s="930"/>
      <c r="D28" s="930"/>
      <c r="E28" s="930"/>
      <c r="F28" s="930"/>
      <c r="G28" s="930"/>
      <c r="H28" s="930"/>
      <c r="I28" s="930"/>
      <c r="J28" s="930"/>
      <c r="K28" s="930"/>
      <c r="L28" s="930"/>
      <c r="M28" s="930"/>
      <c r="N28" s="930"/>
      <c r="O28" s="930"/>
      <c r="P28" s="929"/>
    </row>
    <row r="29" spans="1:16" x14ac:dyDescent="0.25">
      <c r="A29" s="929"/>
      <c r="B29" s="934"/>
      <c r="C29" s="1117"/>
      <c r="D29" s="1117"/>
      <c r="E29" s="1117"/>
      <c r="F29" s="1117"/>
      <c r="G29" s="1117"/>
      <c r="H29" s="1117"/>
      <c r="I29" s="1117"/>
      <c r="J29" s="1117"/>
      <c r="K29" s="1117"/>
      <c r="L29" s="1117"/>
      <c r="M29" s="1117"/>
      <c r="N29" s="1117"/>
      <c r="O29" s="1117"/>
      <c r="P29" s="929"/>
    </row>
    <row r="30" spans="1:16" x14ac:dyDescent="0.25">
      <c r="A30" s="929"/>
      <c r="B30" s="929"/>
      <c r="C30" s="929"/>
      <c r="D30" s="929"/>
      <c r="E30" s="929"/>
      <c r="F30" s="929"/>
      <c r="G30" s="929"/>
      <c r="H30" s="929"/>
      <c r="I30" s="929"/>
      <c r="J30" s="929"/>
      <c r="K30" s="929"/>
      <c r="L30" s="929"/>
      <c r="M30" s="929"/>
      <c r="N30" s="929"/>
      <c r="O30" s="929"/>
      <c r="P30" s="929"/>
    </row>
    <row r="31" spans="1:16" x14ac:dyDescent="0.25">
      <c r="A31" s="929"/>
      <c r="B31" s="934"/>
      <c r="C31" s="934"/>
      <c r="D31" s="934"/>
      <c r="E31" s="934"/>
      <c r="F31" s="934"/>
      <c r="G31" s="934"/>
      <c r="H31" s="934"/>
      <c r="I31" s="934"/>
      <c r="J31" s="934"/>
      <c r="K31" s="934"/>
      <c r="L31" s="934"/>
      <c r="M31" s="934"/>
      <c r="N31" s="934"/>
      <c r="O31" s="934"/>
      <c r="P31" s="929"/>
    </row>
    <row r="32" spans="1:16" x14ac:dyDescent="0.25">
      <c r="A32" s="929"/>
      <c r="B32" s="930"/>
      <c r="C32" s="930"/>
      <c r="D32" s="930"/>
      <c r="E32" s="937"/>
      <c r="F32" s="947"/>
      <c r="G32" s="930"/>
      <c r="H32" s="930"/>
      <c r="I32" s="946"/>
      <c r="J32" s="945"/>
      <c r="K32" s="944"/>
      <c r="L32" s="943"/>
      <c r="M32" s="942"/>
      <c r="N32" s="942"/>
      <c r="O32" s="941"/>
      <c r="P32" s="929"/>
    </row>
    <row r="33" spans="1:16" x14ac:dyDescent="0.25">
      <c r="A33" s="929"/>
      <c r="B33" s="934"/>
      <c r="C33" s="934"/>
      <c r="D33" s="934"/>
      <c r="E33" s="934"/>
      <c r="F33" s="934"/>
      <c r="G33" s="934"/>
      <c r="H33" s="934"/>
      <c r="I33" s="934"/>
      <c r="J33" s="934"/>
      <c r="K33" s="934"/>
      <c r="L33" s="934"/>
      <c r="M33" s="934"/>
      <c r="N33" s="936"/>
      <c r="O33" s="935"/>
      <c r="P33" s="929"/>
    </row>
    <row r="34" spans="1:16" x14ac:dyDescent="0.25">
      <c r="A34" s="929"/>
      <c r="B34" s="929"/>
      <c r="C34" s="929"/>
      <c r="D34" s="929"/>
      <c r="E34" s="929"/>
      <c r="F34" s="929"/>
      <c r="G34" s="929"/>
      <c r="H34" s="929"/>
      <c r="I34" s="929"/>
      <c r="J34" s="929"/>
      <c r="K34" s="929"/>
      <c r="L34" s="929"/>
      <c r="M34" s="929"/>
      <c r="N34" s="929"/>
      <c r="O34" s="929"/>
      <c r="P34" s="929"/>
    </row>
    <row r="35" spans="1:16" x14ac:dyDescent="0.25">
      <c r="A35" s="929"/>
      <c r="B35" s="934"/>
      <c r="C35" s="934"/>
      <c r="D35" s="934"/>
      <c r="E35" s="934"/>
      <c r="F35" s="934"/>
      <c r="G35" s="934"/>
      <c r="H35" s="934"/>
      <c r="I35" s="934"/>
      <c r="J35" s="934"/>
      <c r="K35" s="934"/>
      <c r="L35" s="934"/>
      <c r="M35" s="934"/>
      <c r="N35" s="934"/>
      <c r="O35" s="934"/>
      <c r="P35" s="929"/>
    </row>
    <row r="36" spans="1:16" x14ac:dyDescent="0.25">
      <c r="A36" s="929"/>
      <c r="B36" s="930"/>
      <c r="C36" s="664"/>
      <c r="D36" s="940"/>
      <c r="E36" s="937"/>
      <c r="F36" s="930"/>
      <c r="G36" s="930"/>
      <c r="H36" s="938"/>
      <c r="I36" s="939"/>
      <c r="J36" s="937"/>
      <c r="K36" s="1117"/>
      <c r="L36" s="1117"/>
      <c r="M36" s="1117"/>
      <c r="N36" s="1117"/>
      <c r="O36" s="1117"/>
      <c r="P36" s="929"/>
    </row>
    <row r="37" spans="1:16" x14ac:dyDescent="0.25">
      <c r="A37" s="929"/>
      <c r="B37" s="930"/>
      <c r="C37" s="664"/>
      <c r="D37" s="940"/>
      <c r="E37" s="937"/>
      <c r="F37" s="930"/>
      <c r="G37" s="939"/>
      <c r="H37" s="938"/>
      <c r="I37" s="930"/>
      <c r="J37" s="937"/>
      <c r="K37" s="1117"/>
      <c r="L37" s="1117"/>
      <c r="M37" s="1117"/>
      <c r="N37" s="1117"/>
      <c r="O37" s="1117"/>
      <c r="P37" s="929"/>
    </row>
    <row r="38" spans="1:16" x14ac:dyDescent="0.25">
      <c r="A38" s="929"/>
      <c r="B38" s="934"/>
      <c r="C38" s="934"/>
      <c r="D38" s="934"/>
      <c r="E38" s="934"/>
      <c r="F38" s="934"/>
      <c r="G38" s="934"/>
      <c r="H38" s="934"/>
      <c r="I38" s="936"/>
      <c r="J38" s="935"/>
      <c r="K38" s="934"/>
      <c r="L38" s="934"/>
      <c r="M38" s="934"/>
      <c r="N38" s="934"/>
      <c r="O38" s="934"/>
      <c r="P38" s="929"/>
    </row>
    <row r="39" spans="1:16" x14ac:dyDescent="0.25">
      <c r="A39" s="929"/>
      <c r="B39" s="1117"/>
      <c r="C39" s="1117"/>
      <c r="D39" s="1117"/>
      <c r="E39" s="1117"/>
      <c r="F39" s="1117"/>
      <c r="G39" s="1117"/>
      <c r="H39" s="1117"/>
      <c r="I39" s="933"/>
      <c r="J39" s="932"/>
      <c r="K39" s="1117"/>
      <c r="L39" s="930"/>
      <c r="M39" s="930"/>
      <c r="N39" s="930"/>
      <c r="O39" s="930"/>
      <c r="P39" s="929"/>
    </row>
    <row r="40" spans="1:16" x14ac:dyDescent="0.25">
      <c r="B40" s="928"/>
      <c r="C40" s="928"/>
      <c r="D40" s="928"/>
      <c r="E40" s="928"/>
      <c r="F40" s="928"/>
      <c r="G40" s="928"/>
      <c r="H40" s="928"/>
      <c r="I40" s="928"/>
      <c r="J40" s="928"/>
      <c r="K40" s="928"/>
      <c r="L40" s="928"/>
      <c r="M40" s="928"/>
      <c r="N40" s="928"/>
      <c r="O40" s="928"/>
    </row>
  </sheetData>
  <hyperlinks>
    <hyperlink ref="B4" location="BR_A0001" display="BR_A0001" xr:uid="{00000000-0004-0000-8D00-000000000000}"/>
    <hyperlink ref="G2" location="SU_A1300_BOM" display="Back to BOM" xr:uid="{00000000-0004-0000-8D00-000001000000}"/>
    <hyperlink ref="E3" location="dSU_13002" display="Drawing" xr:uid="{00000000-0004-0000-8D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2" fitToHeight="99" orientation="landscape" r:id="rId1"/>
  <headerFooter>
    <oddFooter>Page &amp;P</oddFooter>
  </headerFooter>
  <drawing r:id="rId2"/>
</worksheet>
</file>

<file path=xl/worksheets/sheet1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E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5" t="s">
        <v>546</v>
      </c>
    </row>
  </sheetData>
  <hyperlinks>
    <hyperlink ref="B1" location="SU_13002" display="SU_13002" xr:uid="{00000000-0004-0000-8E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21.28515625" customWidth="1"/>
    <col min="3" max="3" width="17.42578125" customWidth="1"/>
    <col min="4" max="4" width="9.5703125" customWidth="1"/>
    <col min="5" max="5" width="8" customWidth="1"/>
    <col min="7" max="7" width="16.28515625" customWidth="1"/>
    <col min="8" max="8" width="8.7109375" customWidth="1"/>
    <col min="13" max="13" width="12.7109375" customWidth="1"/>
  </cols>
  <sheetData>
    <row r="1" spans="1:15" x14ac:dyDescent="0.25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25">
      <c r="A2" s="419" t="s">
        <v>0</v>
      </c>
      <c r="B2" s="420" t="s">
        <v>37</v>
      </c>
      <c r="C2" s="403"/>
      <c r="D2" s="403"/>
      <c r="E2" s="403"/>
      <c r="F2" s="271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SU_01008_m+SU_01008_p</f>
        <v>1.3930602499999998</v>
      </c>
      <c r="O2" s="422"/>
    </row>
    <row r="3" spans="1:15" x14ac:dyDescent="0.25">
      <c r="A3" s="419" t="s">
        <v>3</v>
      </c>
      <c r="B3" s="420" t="str">
        <f>'SU A0100'!B3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25">
      <c r="A4" s="419" t="s">
        <v>5</v>
      </c>
      <c r="B4" s="423" t="str">
        <f>'SU A0100'!B4</f>
        <v>Upper Front A-arm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25">
      <c r="A5" s="419" t="s">
        <v>15</v>
      </c>
      <c r="B5" s="424" t="s">
        <v>215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SU_01008_q*N2</f>
        <v>1.3930602499999998</v>
      </c>
      <c r="O5" s="422"/>
    </row>
    <row r="6" spans="1:15" x14ac:dyDescent="0.25">
      <c r="A6" s="419" t="s">
        <v>7</v>
      </c>
      <c r="B6" s="425" t="s">
        <v>211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25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25">
      <c r="A8" s="419" t="s">
        <v>13</v>
      </c>
      <c r="B8" s="403" t="s">
        <v>203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25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25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28.9" customHeight="1" x14ac:dyDescent="0.25">
      <c r="A11" s="426">
        <v>10</v>
      </c>
      <c r="B11" s="427" t="s">
        <v>204</v>
      </c>
      <c r="C11" s="428" t="s">
        <v>205</v>
      </c>
      <c r="D11" s="429">
        <v>2.25</v>
      </c>
      <c r="E11" s="430">
        <f>J11*K11*L11</f>
        <v>5.3537000000000001E-2</v>
      </c>
      <c r="F11" s="431" t="s">
        <v>141</v>
      </c>
      <c r="G11" s="431"/>
      <c r="H11" s="432"/>
      <c r="I11" s="433" t="s">
        <v>206</v>
      </c>
      <c r="J11" s="434">
        <f>0.062*0.022</f>
        <v>1.364E-3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0.12045825</v>
      </c>
      <c r="O11" s="422"/>
    </row>
    <row r="12" spans="1:15" x14ac:dyDescent="0.25">
      <c r="A12" s="426">
        <v>20</v>
      </c>
      <c r="B12" s="427" t="s">
        <v>207</v>
      </c>
      <c r="C12" s="428"/>
      <c r="D12" s="411">
        <v>10</v>
      </c>
      <c r="E12" s="412">
        <f>2*J11</f>
        <v>2.728E-3</v>
      </c>
      <c r="F12" s="437" t="s">
        <v>202</v>
      </c>
      <c r="G12" s="431"/>
      <c r="H12" s="432"/>
      <c r="I12" s="433"/>
      <c r="J12" s="434"/>
      <c r="K12" s="432"/>
      <c r="L12" s="435"/>
      <c r="M12" s="435"/>
      <c r="N12" s="436">
        <f>E12*D12</f>
        <v>2.7279999999999999E-2</v>
      </c>
      <c r="O12" s="422"/>
    </row>
    <row r="13" spans="1:15" x14ac:dyDescent="0.25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0.14773825000000002</v>
      </c>
      <c r="O13" s="422"/>
    </row>
    <row r="14" spans="1:15" x14ac:dyDescent="0.25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25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34.15" customHeight="1" x14ac:dyDescent="0.25">
      <c r="A16" s="438">
        <v>10</v>
      </c>
      <c r="B16" s="439" t="s">
        <v>39</v>
      </c>
      <c r="C16" s="440" t="s">
        <v>208</v>
      </c>
      <c r="D16" s="441">
        <v>1.3</v>
      </c>
      <c r="E16" s="439" t="s">
        <v>32</v>
      </c>
      <c r="F16" s="299">
        <v>1</v>
      </c>
      <c r="G16" s="440" t="s">
        <v>220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25">
      <c r="A17" s="444">
        <v>20</v>
      </c>
      <c r="B17" s="445" t="s">
        <v>209</v>
      </c>
      <c r="C17" s="296"/>
      <c r="D17" s="441">
        <v>0.01</v>
      </c>
      <c r="E17" s="445" t="s">
        <v>40</v>
      </c>
      <c r="F17" s="446">
        <v>13.6</v>
      </c>
      <c r="G17" s="439"/>
      <c r="H17" s="442"/>
      <c r="I17" s="443">
        <f>IF(H17="",D17*F17,D17*F17*H17)</f>
        <v>0.13600000000000001</v>
      </c>
      <c r="J17" s="299"/>
      <c r="K17" s="403"/>
      <c r="L17" s="403"/>
      <c r="M17" s="403"/>
      <c r="N17" s="403"/>
      <c r="O17" s="422"/>
    </row>
    <row r="18" spans="1:15" ht="29.45" customHeight="1" x14ac:dyDescent="0.25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220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25">
      <c r="A19" s="444">
        <v>40</v>
      </c>
      <c r="B19" s="448" t="s">
        <v>92</v>
      </c>
      <c r="C19" s="448" t="s">
        <v>219</v>
      </c>
      <c r="D19" s="449">
        <v>0.04</v>
      </c>
      <c r="E19" s="448" t="s">
        <v>93</v>
      </c>
      <c r="F19" s="448">
        <v>1</v>
      </c>
      <c r="G19" s="448" t="s">
        <v>197</v>
      </c>
      <c r="H19" s="448">
        <v>3</v>
      </c>
      <c r="I19" s="450">
        <f t="shared" si="0"/>
        <v>0.12</v>
      </c>
      <c r="J19" s="302"/>
      <c r="K19" s="414"/>
      <c r="L19" s="414"/>
      <c r="M19" s="414"/>
      <c r="N19" s="414"/>
      <c r="O19" s="422"/>
    </row>
    <row r="20" spans="1:15" x14ac:dyDescent="0.25">
      <c r="A20" s="438">
        <v>50</v>
      </c>
      <c r="B20" s="439" t="s">
        <v>162</v>
      </c>
      <c r="C20" s="296" t="s">
        <v>210</v>
      </c>
      <c r="D20" s="303">
        <v>5.25</v>
      </c>
      <c r="E20" s="439" t="s">
        <v>202</v>
      </c>
      <c r="F20" s="451">
        <f>2*J11</f>
        <v>2.728E-3</v>
      </c>
      <c r="G20" s="439"/>
      <c r="H20" s="442"/>
      <c r="I20" s="450">
        <f>F20*D20</f>
        <v>1.4322E-2</v>
      </c>
      <c r="J20" s="452"/>
      <c r="K20" s="453"/>
      <c r="L20" s="453"/>
      <c r="M20" s="453"/>
      <c r="N20" s="453"/>
      <c r="O20" s="422"/>
    </row>
    <row r="21" spans="1:15" x14ac:dyDescent="0.25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1.2453219999999998</v>
      </c>
      <c r="J21" s="453"/>
      <c r="K21" s="453"/>
      <c r="L21" s="453"/>
      <c r="M21" s="453"/>
      <c r="N21" s="453"/>
      <c r="O21" s="422"/>
    </row>
    <row r="22" spans="1:15" ht="15.75" thickBot="1" x14ac:dyDescent="0.3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F2" location="SU_A0100_BOM" display="Back to BOM" xr:uid="{00000000-0004-0000-0E00-000000000000}"/>
    <hyperlink ref="B4" location="'SU A0100'!A1" display="'SU A0100'!A1" xr:uid="{00000000-0004-0000-0E00-000001000000}"/>
    <hyperlink ref="E3" location="dSU_01008" display="Drawing" xr:uid="{00000000-0004-0000-0E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6" fitToHeight="99" orientation="landscape" r:id="rId1"/>
  <headerFooter>
    <oddFooter>Page &amp;P</oddFooter>
  </headerFooter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FFFF66"/>
    <pageSetUpPr fitToPage="1"/>
  </sheetPr>
  <dimension ref="A1:L5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3.28515625" customWidth="1"/>
  </cols>
  <sheetData>
    <row r="1" spans="1:12" x14ac:dyDescent="0.25">
      <c r="A1" t="s">
        <v>124</v>
      </c>
      <c r="B1" s="275" t="s">
        <v>211</v>
      </c>
    </row>
    <row r="5" spans="1:12" x14ac:dyDescent="0.25">
      <c r="L5" s="292"/>
    </row>
  </sheetData>
  <hyperlinks>
    <hyperlink ref="B1" location="SU_01008" display="SU_01008" xr:uid="{00000000-0004-0000-0F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3" max="3" width="18.28515625" customWidth="1"/>
  </cols>
  <sheetData>
    <row r="1" spans="1:15" x14ac:dyDescent="0.25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25">
      <c r="A2" s="305" t="s">
        <v>0</v>
      </c>
      <c r="B2" s="16" t="s">
        <v>37</v>
      </c>
      <c r="C2" s="263"/>
      <c r="D2" s="263"/>
      <c r="E2" s="263"/>
      <c r="F2" s="271" t="s">
        <v>62</v>
      </c>
      <c r="G2" s="263"/>
      <c r="H2" s="263"/>
      <c r="I2" s="263"/>
      <c r="J2" s="99" t="s">
        <v>1</v>
      </c>
      <c r="K2" s="267">
        <v>81</v>
      </c>
      <c r="L2" s="263"/>
      <c r="M2" s="291" t="s">
        <v>16</v>
      </c>
      <c r="N2" s="406">
        <f>SU_01009_m+SU_01009_p</f>
        <v>1.3590899374999998</v>
      </c>
      <c r="O2" s="264"/>
    </row>
    <row r="3" spans="1:15" x14ac:dyDescent="0.25">
      <c r="A3" s="305" t="s">
        <v>3</v>
      </c>
      <c r="B3" s="16" t="str">
        <f>'SU A0100'!B3</f>
        <v>Suspension &amp; Shocks</v>
      </c>
      <c r="C3" s="267"/>
      <c r="D3" s="338" t="s">
        <v>6</v>
      </c>
      <c r="E3" s="275" t="s">
        <v>60</v>
      </c>
      <c r="F3" s="263"/>
      <c r="G3" s="263"/>
      <c r="H3" s="263"/>
      <c r="I3" s="263"/>
      <c r="J3" s="263"/>
      <c r="K3" s="263"/>
      <c r="L3" s="263"/>
      <c r="M3" s="291" t="s">
        <v>4</v>
      </c>
      <c r="N3" s="268">
        <v>1</v>
      </c>
      <c r="O3" s="264"/>
    </row>
    <row r="4" spans="1:15" x14ac:dyDescent="0.25">
      <c r="A4" s="305" t="s">
        <v>5</v>
      </c>
      <c r="B4" s="87" t="str">
        <f>'SU A0100'!B4</f>
        <v>Upper Front A-arm</v>
      </c>
      <c r="C4" s="263"/>
      <c r="D4" s="338" t="s">
        <v>8</v>
      </c>
      <c r="E4" s="340"/>
      <c r="F4" s="263"/>
      <c r="G4" s="263"/>
      <c r="H4" s="263"/>
      <c r="I4" s="263"/>
      <c r="J4" s="99" t="s">
        <v>6</v>
      </c>
      <c r="K4" s="263"/>
      <c r="L4" s="263"/>
      <c r="M4" s="263"/>
      <c r="N4" s="263"/>
      <c r="O4" s="264"/>
    </row>
    <row r="5" spans="1:15" x14ac:dyDescent="0.25">
      <c r="A5" s="305" t="s">
        <v>15</v>
      </c>
      <c r="B5" s="72" t="s">
        <v>216</v>
      </c>
      <c r="C5" s="263"/>
      <c r="D5" s="338" t="s">
        <v>12</v>
      </c>
      <c r="E5" s="340"/>
      <c r="F5" s="263"/>
      <c r="G5" s="263"/>
      <c r="H5" s="263"/>
      <c r="I5" s="263"/>
      <c r="J5" s="99" t="s">
        <v>8</v>
      </c>
      <c r="K5" s="263"/>
      <c r="L5" s="263"/>
      <c r="M5" s="291" t="s">
        <v>9</v>
      </c>
      <c r="N5" s="406">
        <f>SU_01009_q*N2</f>
        <v>1.3590899374999998</v>
      </c>
      <c r="O5" s="264"/>
    </row>
    <row r="6" spans="1:15" x14ac:dyDescent="0.25">
      <c r="A6" s="305" t="s">
        <v>7</v>
      </c>
      <c r="B6" s="28" t="s">
        <v>212</v>
      </c>
      <c r="C6" s="263"/>
      <c r="D6" s="263"/>
      <c r="E6" s="263"/>
      <c r="F6" s="263"/>
      <c r="G6" s="263"/>
      <c r="H6" s="263"/>
      <c r="I6" s="263"/>
      <c r="J6" s="99" t="s">
        <v>12</v>
      </c>
      <c r="K6" s="263"/>
      <c r="L6" s="263"/>
      <c r="M6" s="263"/>
      <c r="N6" s="263"/>
      <c r="O6" s="264"/>
    </row>
    <row r="7" spans="1:15" x14ac:dyDescent="0.25">
      <c r="A7" s="305" t="s">
        <v>10</v>
      </c>
      <c r="B7" s="16" t="s">
        <v>11</v>
      </c>
      <c r="C7" s="263"/>
      <c r="D7" s="263"/>
      <c r="E7" s="263"/>
      <c r="F7" s="263"/>
      <c r="G7" s="263"/>
      <c r="H7" s="263"/>
      <c r="I7" s="263"/>
      <c r="J7" s="263"/>
      <c r="K7" s="263"/>
      <c r="L7" s="263"/>
      <c r="M7" s="263"/>
      <c r="N7" s="263"/>
      <c r="O7" s="264"/>
    </row>
    <row r="8" spans="1:15" x14ac:dyDescent="0.25">
      <c r="A8" s="305" t="s">
        <v>13</v>
      </c>
      <c r="B8" s="263" t="s">
        <v>203</v>
      </c>
      <c r="C8" s="263"/>
      <c r="D8" s="263"/>
      <c r="E8" s="263"/>
      <c r="F8" s="263"/>
      <c r="G8" s="263"/>
      <c r="H8" s="263"/>
      <c r="I8" s="263"/>
      <c r="J8" s="263"/>
      <c r="K8" s="263"/>
      <c r="L8" s="263"/>
      <c r="M8" s="263"/>
      <c r="N8" s="263"/>
      <c r="O8" s="264"/>
    </row>
    <row r="9" spans="1:15" x14ac:dyDescent="0.25">
      <c r="A9" s="279"/>
      <c r="B9" s="263"/>
      <c r="C9" s="263"/>
      <c r="D9" s="263"/>
      <c r="E9" s="263"/>
      <c r="F9" s="263"/>
      <c r="G9" s="263"/>
      <c r="H9" s="263"/>
      <c r="I9" s="263"/>
      <c r="J9" s="263"/>
      <c r="K9" s="263"/>
      <c r="L9" s="263"/>
      <c r="M9" s="263"/>
      <c r="N9" s="263"/>
      <c r="O9" s="264"/>
    </row>
    <row r="10" spans="1:15" x14ac:dyDescent="0.25">
      <c r="A10" s="306" t="s">
        <v>14</v>
      </c>
      <c r="B10" s="287" t="s">
        <v>19</v>
      </c>
      <c r="C10" s="287" t="s">
        <v>20</v>
      </c>
      <c r="D10" s="287" t="s">
        <v>21</v>
      </c>
      <c r="E10" s="287" t="s">
        <v>22</v>
      </c>
      <c r="F10" s="287" t="s">
        <v>23</v>
      </c>
      <c r="G10" s="287" t="s">
        <v>24</v>
      </c>
      <c r="H10" s="287" t="s">
        <v>25</v>
      </c>
      <c r="I10" s="287" t="s">
        <v>26</v>
      </c>
      <c r="J10" s="287" t="s">
        <v>27</v>
      </c>
      <c r="K10" s="287" t="s">
        <v>28</v>
      </c>
      <c r="L10" s="287" t="s">
        <v>29</v>
      </c>
      <c r="M10" s="287" t="s">
        <v>17</v>
      </c>
      <c r="N10" s="287" t="s">
        <v>18</v>
      </c>
      <c r="O10" s="264"/>
    </row>
    <row r="11" spans="1:15" ht="30" x14ac:dyDescent="0.25">
      <c r="A11" s="283">
        <v>10</v>
      </c>
      <c r="B11" s="307" t="s">
        <v>204</v>
      </c>
      <c r="C11" s="308" t="s">
        <v>205</v>
      </c>
      <c r="D11" s="293">
        <v>2.25</v>
      </c>
      <c r="E11" s="309">
        <f>J11*K11*L11</f>
        <v>5.2555749999999998E-2</v>
      </c>
      <c r="F11" s="310" t="s">
        <v>141</v>
      </c>
      <c r="G11" s="310"/>
      <c r="H11" s="311"/>
      <c r="I11" s="312" t="s">
        <v>206</v>
      </c>
      <c r="J11" s="313">
        <v>1.3389999999999999E-3</v>
      </c>
      <c r="K11" s="313">
        <v>5.0000000000000001E-3</v>
      </c>
      <c r="L11" s="314">
        <v>7850</v>
      </c>
      <c r="M11" s="314">
        <v>1</v>
      </c>
      <c r="N11" s="315">
        <f>IF(J11="",D11*M11,D11*J11*K11*L11*M11)</f>
        <v>0.1182504375</v>
      </c>
      <c r="O11" s="264"/>
    </row>
    <row r="12" spans="1:15" x14ac:dyDescent="0.25">
      <c r="A12" s="283">
        <v>20</v>
      </c>
      <c r="B12" s="307" t="s">
        <v>207</v>
      </c>
      <c r="C12" s="308"/>
      <c r="D12" s="316">
        <v>10</v>
      </c>
      <c r="E12" s="317">
        <f>2*J11</f>
        <v>2.6779999999999998E-3</v>
      </c>
      <c r="F12" s="318" t="s">
        <v>202</v>
      </c>
      <c r="G12" s="310"/>
      <c r="H12" s="311"/>
      <c r="I12" s="312"/>
      <c r="J12" s="313"/>
      <c r="K12" s="311"/>
      <c r="L12" s="314"/>
      <c r="M12" s="314"/>
      <c r="N12" s="315">
        <f>E12*D12</f>
        <v>2.6779999999999998E-2</v>
      </c>
      <c r="O12" s="264"/>
    </row>
    <row r="13" spans="1:15" x14ac:dyDescent="0.25">
      <c r="A13" s="280"/>
      <c r="B13" s="281"/>
      <c r="C13" s="281"/>
      <c r="D13" s="281"/>
      <c r="E13" s="281"/>
      <c r="F13" s="281"/>
      <c r="G13" s="281"/>
      <c r="H13" s="281"/>
      <c r="I13" s="281"/>
      <c r="J13" s="281"/>
      <c r="K13" s="281"/>
      <c r="L13" s="281"/>
      <c r="M13" s="289" t="s">
        <v>18</v>
      </c>
      <c r="N13" s="288">
        <f>SUM(N11:N12)</f>
        <v>0.1450304375</v>
      </c>
      <c r="O13" s="264"/>
    </row>
    <row r="14" spans="1:15" x14ac:dyDescent="0.25">
      <c r="A14" s="279"/>
      <c r="B14" s="263"/>
      <c r="C14" s="263"/>
      <c r="D14" s="263"/>
      <c r="E14" s="263"/>
      <c r="F14" s="263"/>
      <c r="G14" s="263"/>
      <c r="H14" s="263"/>
      <c r="I14" s="263"/>
      <c r="J14" s="263"/>
      <c r="K14" s="263"/>
      <c r="L14" s="263"/>
      <c r="M14" s="263"/>
      <c r="N14" s="263"/>
      <c r="O14" s="264"/>
    </row>
    <row r="15" spans="1:15" x14ac:dyDescent="0.25">
      <c r="A15" s="306" t="s">
        <v>14</v>
      </c>
      <c r="B15" s="287" t="s">
        <v>31</v>
      </c>
      <c r="C15" s="287" t="s">
        <v>20</v>
      </c>
      <c r="D15" s="287" t="s">
        <v>21</v>
      </c>
      <c r="E15" s="287" t="s">
        <v>32</v>
      </c>
      <c r="F15" s="287" t="s">
        <v>17</v>
      </c>
      <c r="G15" s="287" t="s">
        <v>33</v>
      </c>
      <c r="H15" s="287" t="s">
        <v>34</v>
      </c>
      <c r="I15" s="287" t="s">
        <v>18</v>
      </c>
      <c r="J15" s="281"/>
      <c r="K15" s="281"/>
      <c r="L15" s="281"/>
      <c r="M15" s="281"/>
      <c r="N15" s="281"/>
      <c r="O15" s="264"/>
    </row>
    <row r="16" spans="1:15" ht="41.45" customHeight="1" x14ac:dyDescent="0.25">
      <c r="A16" s="319">
        <v>10</v>
      </c>
      <c r="B16" s="298" t="s">
        <v>39</v>
      </c>
      <c r="C16" s="320" t="s">
        <v>208</v>
      </c>
      <c r="D16" s="321">
        <v>1.3</v>
      </c>
      <c r="E16" s="298" t="s">
        <v>32</v>
      </c>
      <c r="F16" s="299">
        <v>1</v>
      </c>
      <c r="G16" s="320" t="s">
        <v>220</v>
      </c>
      <c r="H16" s="322">
        <v>0.5</v>
      </c>
      <c r="I16" s="294">
        <f>H16*D16</f>
        <v>0.65</v>
      </c>
      <c r="J16" s="299"/>
      <c r="K16" s="263"/>
      <c r="L16" s="263"/>
      <c r="M16" s="263"/>
      <c r="N16" s="263"/>
      <c r="O16" s="264"/>
    </row>
    <row r="17" spans="1:15" x14ac:dyDescent="0.25">
      <c r="A17" s="323">
        <v>20</v>
      </c>
      <c r="B17" s="295" t="s">
        <v>209</v>
      </c>
      <c r="C17" s="296"/>
      <c r="D17" s="321">
        <v>0.01</v>
      </c>
      <c r="E17" s="295" t="s">
        <v>40</v>
      </c>
      <c r="F17" s="325">
        <v>13.8</v>
      </c>
      <c r="G17" s="298"/>
      <c r="H17" s="322"/>
      <c r="I17" s="294">
        <f>IF(H17="",D17*F17,D17*F17*H17)</f>
        <v>0.13800000000000001</v>
      </c>
      <c r="J17" s="299"/>
      <c r="K17" s="263"/>
      <c r="L17" s="263"/>
      <c r="M17" s="263"/>
      <c r="N17" s="263"/>
      <c r="O17" s="264"/>
    </row>
    <row r="18" spans="1:15" ht="60" x14ac:dyDescent="0.25">
      <c r="A18" s="319">
        <v>30</v>
      </c>
      <c r="B18" s="324" t="s">
        <v>39</v>
      </c>
      <c r="C18" s="297"/>
      <c r="D18" s="300">
        <v>0.65</v>
      </c>
      <c r="E18" s="297" t="s">
        <v>32</v>
      </c>
      <c r="F18" s="297">
        <v>1</v>
      </c>
      <c r="G18" s="320" t="s">
        <v>220</v>
      </c>
      <c r="H18" s="297">
        <v>0.5</v>
      </c>
      <c r="I18" s="301">
        <f t="shared" ref="I18:I19" si="0">IF(H18="",D18*F18,D18*F18*H18)</f>
        <v>0.32500000000000001</v>
      </c>
      <c r="J18" s="299"/>
      <c r="K18" s="263"/>
      <c r="L18" s="263"/>
      <c r="M18" s="263"/>
      <c r="N18" s="263"/>
      <c r="O18" s="264"/>
    </row>
    <row r="19" spans="1:15" x14ac:dyDescent="0.25">
      <c r="A19" s="323">
        <v>40</v>
      </c>
      <c r="B19" s="297" t="s">
        <v>92</v>
      </c>
      <c r="C19" s="297" t="s">
        <v>219</v>
      </c>
      <c r="D19" s="300">
        <v>2.9000000000000001E-2</v>
      </c>
      <c r="E19" s="297" t="s">
        <v>93</v>
      </c>
      <c r="F19" s="297">
        <v>1</v>
      </c>
      <c r="G19" s="297" t="s">
        <v>197</v>
      </c>
      <c r="H19" s="297">
        <v>3</v>
      </c>
      <c r="I19" s="301">
        <f t="shared" si="0"/>
        <v>8.7000000000000008E-2</v>
      </c>
      <c r="J19" s="302"/>
      <c r="K19" s="281"/>
      <c r="L19" s="281"/>
      <c r="M19" s="281"/>
      <c r="N19" s="281"/>
      <c r="O19" s="264"/>
    </row>
    <row r="20" spans="1:15" ht="30" x14ac:dyDescent="0.25">
      <c r="A20" s="319">
        <v>50</v>
      </c>
      <c r="B20" s="298" t="s">
        <v>162</v>
      </c>
      <c r="C20" s="296" t="s">
        <v>210</v>
      </c>
      <c r="D20" s="303">
        <v>5.25</v>
      </c>
      <c r="E20" s="298" t="s">
        <v>202</v>
      </c>
      <c r="F20" s="451">
        <f>2*J11</f>
        <v>2.6779999999999998E-3</v>
      </c>
      <c r="G20" s="298"/>
      <c r="H20" s="322"/>
      <c r="I20" s="301">
        <f>F20*D20</f>
        <v>1.4059499999999999E-2</v>
      </c>
      <c r="J20" s="304"/>
      <c r="K20" s="56"/>
      <c r="L20" s="56"/>
      <c r="M20" s="56"/>
      <c r="N20" s="56"/>
      <c r="O20" s="264"/>
    </row>
    <row r="21" spans="1:15" x14ac:dyDescent="0.25">
      <c r="A21" s="280"/>
      <c r="B21" s="281"/>
      <c r="C21" s="281"/>
      <c r="D21" s="281"/>
      <c r="E21" s="281"/>
      <c r="F21" s="281"/>
      <c r="G21" s="281"/>
      <c r="H21" s="289" t="s">
        <v>18</v>
      </c>
      <c r="I21" s="290">
        <f>SUM(I16:I20)</f>
        <v>1.2140594999999998</v>
      </c>
      <c r="J21" s="56"/>
      <c r="K21" s="56"/>
      <c r="L21" s="56"/>
      <c r="M21" s="56"/>
      <c r="N21" s="56"/>
      <c r="O21" s="264"/>
    </row>
    <row r="22" spans="1:15" ht="15.75" thickBot="1" x14ac:dyDescent="0.3">
      <c r="A22" s="284"/>
      <c r="B22" s="285"/>
      <c r="C22" s="285"/>
      <c r="D22" s="285"/>
      <c r="E22" s="285"/>
      <c r="F22" s="285"/>
      <c r="G22" s="285"/>
      <c r="H22" s="285"/>
      <c r="I22" s="285"/>
      <c r="J22" s="285"/>
      <c r="K22" s="285"/>
      <c r="L22" s="285"/>
      <c r="M22" s="285"/>
      <c r="N22" s="285"/>
      <c r="O22" s="286"/>
    </row>
  </sheetData>
  <hyperlinks>
    <hyperlink ref="B4" location="'SU A0100'!A1" display="'SU A0100'!A1" xr:uid="{00000000-0004-0000-1000-000000000000}"/>
    <hyperlink ref="F2" location="SU_A0100_BOM" display="Back to BOM" xr:uid="{00000000-0004-0000-1000-000001000000}"/>
    <hyperlink ref="E3" location="dSU_01009" display="Drawing" xr:uid="{00000000-0004-0000-10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7" fitToHeight="99" orientation="landscape" r:id="rId1"/>
  <headerFooter>
    <oddFooter>Page &amp;P</oddFoot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2.7109375" customWidth="1"/>
  </cols>
  <sheetData>
    <row r="1" spans="1:2" x14ac:dyDescent="0.25">
      <c r="A1" t="s">
        <v>124</v>
      </c>
      <c r="B1" s="275" t="s">
        <v>212</v>
      </c>
    </row>
  </sheetData>
  <hyperlinks>
    <hyperlink ref="B1" location="SU_01009" display="SU_01009" xr:uid="{00000000-0004-0000-11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15" x14ac:dyDescent="0.25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25">
      <c r="A2" s="305" t="s">
        <v>0</v>
      </c>
      <c r="B2" s="16" t="s">
        <v>37</v>
      </c>
      <c r="C2" s="263"/>
      <c r="D2" s="263"/>
      <c r="E2" s="263"/>
      <c r="F2" s="271" t="s">
        <v>62</v>
      </c>
      <c r="G2" s="263"/>
      <c r="H2" s="263"/>
      <c r="I2" s="263"/>
      <c r="J2" s="99" t="s">
        <v>1</v>
      </c>
      <c r="K2" s="267">
        <v>81</v>
      </c>
      <c r="L2" s="263"/>
      <c r="M2" s="291" t="s">
        <v>16</v>
      </c>
      <c r="N2" s="406">
        <f>SU_01010_m+SU_01010_p</f>
        <v>1.3143274375</v>
      </c>
      <c r="O2" s="264"/>
    </row>
    <row r="3" spans="1:15" x14ac:dyDescent="0.25">
      <c r="A3" s="305" t="s">
        <v>3</v>
      </c>
      <c r="B3" s="16" t="str">
        <f>'SU A0100'!B3</f>
        <v>Suspension &amp; Shocks</v>
      </c>
      <c r="C3" s="267"/>
      <c r="D3" s="338" t="s">
        <v>6</v>
      </c>
      <c r="E3" s="275" t="s">
        <v>60</v>
      </c>
      <c r="F3" s="263"/>
      <c r="G3" s="263"/>
      <c r="H3" s="263"/>
      <c r="I3" s="263"/>
      <c r="J3" s="263"/>
      <c r="K3" s="263"/>
      <c r="L3" s="263"/>
      <c r="M3" s="291" t="s">
        <v>4</v>
      </c>
      <c r="N3" s="268">
        <v>1</v>
      </c>
      <c r="O3" s="264"/>
    </row>
    <row r="4" spans="1:15" x14ac:dyDescent="0.25">
      <c r="A4" s="305" t="s">
        <v>5</v>
      </c>
      <c r="B4" s="87" t="str">
        <f>'SU A0100'!B4</f>
        <v>Upper Front A-arm</v>
      </c>
      <c r="C4" s="263"/>
      <c r="D4" s="338" t="s">
        <v>8</v>
      </c>
      <c r="E4" s="340"/>
      <c r="F4" s="263"/>
      <c r="G4" s="263"/>
      <c r="H4" s="263"/>
      <c r="I4" s="263"/>
      <c r="J4" s="99" t="s">
        <v>6</v>
      </c>
      <c r="K4" s="263"/>
      <c r="L4" s="263"/>
      <c r="M4" s="263"/>
      <c r="N4" s="263"/>
      <c r="O4" s="264"/>
    </row>
    <row r="5" spans="1:15" x14ac:dyDescent="0.25">
      <c r="A5" s="305" t="s">
        <v>15</v>
      </c>
      <c r="B5" s="72" t="s">
        <v>217</v>
      </c>
      <c r="C5" s="263"/>
      <c r="D5" s="338" t="s">
        <v>12</v>
      </c>
      <c r="E5" s="340"/>
      <c r="F5" s="263"/>
      <c r="G5" s="263"/>
      <c r="H5" s="263"/>
      <c r="I5" s="263"/>
      <c r="J5" s="99" t="s">
        <v>8</v>
      </c>
      <c r="K5" s="263"/>
      <c r="L5" s="263"/>
      <c r="M5" s="291" t="s">
        <v>9</v>
      </c>
      <c r="N5" s="265">
        <f>N2*SU_01010_q</f>
        <v>1.3143274375</v>
      </c>
      <c r="O5" s="264"/>
    </row>
    <row r="6" spans="1:15" x14ac:dyDescent="0.25">
      <c r="A6" s="305" t="s">
        <v>7</v>
      </c>
      <c r="B6" s="28" t="s">
        <v>213</v>
      </c>
      <c r="C6" s="263"/>
      <c r="D6" s="263"/>
      <c r="E6" s="263"/>
      <c r="F6" s="263"/>
      <c r="G6" s="263"/>
      <c r="H6" s="263"/>
      <c r="I6" s="263"/>
      <c r="J6" s="99" t="s">
        <v>12</v>
      </c>
      <c r="K6" s="263"/>
      <c r="L6" s="263"/>
      <c r="M6" s="263"/>
      <c r="N6" s="263"/>
      <c r="O6" s="264"/>
    </row>
    <row r="7" spans="1:15" x14ac:dyDescent="0.25">
      <c r="A7" s="305" t="s">
        <v>10</v>
      </c>
      <c r="B7" s="16" t="s">
        <v>11</v>
      </c>
      <c r="C7" s="263"/>
      <c r="D7" s="263"/>
      <c r="E7" s="263"/>
      <c r="F7" s="263"/>
      <c r="G7" s="263"/>
      <c r="H7" s="263"/>
      <c r="I7" s="263"/>
      <c r="J7" s="263"/>
      <c r="K7" s="263"/>
      <c r="L7" s="263"/>
      <c r="M7" s="263"/>
      <c r="N7" s="263"/>
      <c r="O7" s="264"/>
    </row>
    <row r="8" spans="1:15" x14ac:dyDescent="0.25">
      <c r="A8" s="305" t="s">
        <v>13</v>
      </c>
      <c r="B8" s="263" t="s">
        <v>203</v>
      </c>
      <c r="C8" s="263"/>
      <c r="D8" s="263"/>
      <c r="E8" s="263"/>
      <c r="F8" s="263"/>
      <c r="G8" s="263"/>
      <c r="H8" s="263"/>
      <c r="I8" s="263"/>
      <c r="J8" s="263"/>
      <c r="K8" s="263"/>
      <c r="L8" s="263"/>
      <c r="M8" s="263"/>
      <c r="N8" s="263"/>
      <c r="O8" s="264"/>
    </row>
    <row r="9" spans="1:15" x14ac:dyDescent="0.25">
      <c r="A9" s="279"/>
      <c r="B9" s="263"/>
      <c r="C9" s="263"/>
      <c r="D9" s="263"/>
      <c r="E9" s="263"/>
      <c r="F9" s="263"/>
      <c r="G9" s="263"/>
      <c r="H9" s="263"/>
      <c r="I9" s="263"/>
      <c r="J9" s="263"/>
      <c r="K9" s="263"/>
      <c r="L9" s="263"/>
      <c r="M9" s="263"/>
      <c r="N9" s="263"/>
      <c r="O9" s="264"/>
    </row>
    <row r="10" spans="1:15" x14ac:dyDescent="0.25">
      <c r="A10" s="306" t="s">
        <v>14</v>
      </c>
      <c r="B10" s="287" t="s">
        <v>19</v>
      </c>
      <c r="C10" s="287" t="s">
        <v>20</v>
      </c>
      <c r="D10" s="287" t="s">
        <v>21</v>
      </c>
      <c r="E10" s="287" t="s">
        <v>22</v>
      </c>
      <c r="F10" s="287" t="s">
        <v>23</v>
      </c>
      <c r="G10" s="287" t="s">
        <v>24</v>
      </c>
      <c r="H10" s="287" t="s">
        <v>25</v>
      </c>
      <c r="I10" s="287" t="s">
        <v>26</v>
      </c>
      <c r="J10" s="287" t="s">
        <v>27</v>
      </c>
      <c r="K10" s="287" t="s">
        <v>28</v>
      </c>
      <c r="L10" s="287" t="s">
        <v>29</v>
      </c>
      <c r="M10" s="287" t="s">
        <v>17</v>
      </c>
      <c r="N10" s="287" t="s">
        <v>18</v>
      </c>
      <c r="O10" s="264"/>
    </row>
    <row r="11" spans="1:15" ht="30" x14ac:dyDescent="0.25">
      <c r="A11" s="283">
        <v>10</v>
      </c>
      <c r="B11" s="307" t="s">
        <v>204</v>
      </c>
      <c r="C11" s="308" t="s">
        <v>205</v>
      </c>
      <c r="D11" s="293">
        <v>2.25</v>
      </c>
      <c r="E11" s="309">
        <f>J11*K11*L11</f>
        <v>4.4705750000000002E-2</v>
      </c>
      <c r="F11" s="310" t="s">
        <v>141</v>
      </c>
      <c r="G11" s="310"/>
      <c r="H11" s="311"/>
      <c r="I11" s="312" t="s">
        <v>206</v>
      </c>
      <c r="J11" s="313">
        <v>1.139E-3</v>
      </c>
      <c r="K11" s="313">
        <v>5.0000000000000001E-3</v>
      </c>
      <c r="L11" s="314">
        <v>7850</v>
      </c>
      <c r="M11" s="314">
        <v>1</v>
      </c>
      <c r="N11" s="315">
        <f>IF(J11="",D11*M11,D11*J11*K11*L11*M11)</f>
        <v>0.10058793749999999</v>
      </c>
      <c r="O11" s="264"/>
    </row>
    <row r="12" spans="1:15" x14ac:dyDescent="0.25">
      <c r="A12" s="283">
        <v>20</v>
      </c>
      <c r="B12" s="307" t="s">
        <v>207</v>
      </c>
      <c r="C12" s="308"/>
      <c r="D12" s="316">
        <v>10</v>
      </c>
      <c r="E12" s="317">
        <f>2*J11</f>
        <v>2.2780000000000001E-3</v>
      </c>
      <c r="F12" s="318" t="s">
        <v>202</v>
      </c>
      <c r="G12" s="310"/>
      <c r="H12" s="311"/>
      <c r="I12" s="312"/>
      <c r="J12" s="313"/>
      <c r="K12" s="311"/>
      <c r="L12" s="314"/>
      <c r="M12" s="314"/>
      <c r="N12" s="315">
        <f>E12*D12</f>
        <v>2.2780000000000002E-2</v>
      </c>
      <c r="O12" s="264"/>
    </row>
    <row r="13" spans="1:15" x14ac:dyDescent="0.25">
      <c r="A13" s="280"/>
      <c r="B13" s="281"/>
      <c r="C13" s="281"/>
      <c r="D13" s="281"/>
      <c r="E13" s="281"/>
      <c r="F13" s="281"/>
      <c r="G13" s="281"/>
      <c r="H13" s="281"/>
      <c r="I13" s="281"/>
      <c r="J13" s="281"/>
      <c r="K13" s="281"/>
      <c r="L13" s="281"/>
      <c r="M13" s="289" t="s">
        <v>18</v>
      </c>
      <c r="N13" s="288">
        <f>SUM(N11:N12)</f>
        <v>0.1233679375</v>
      </c>
      <c r="O13" s="264"/>
    </row>
    <row r="14" spans="1:15" x14ac:dyDescent="0.25">
      <c r="A14" s="279"/>
      <c r="B14" s="263"/>
      <c r="C14" s="263"/>
      <c r="D14" s="263"/>
      <c r="E14" s="263"/>
      <c r="F14" s="263"/>
      <c r="G14" s="263"/>
      <c r="H14" s="263"/>
      <c r="I14" s="263"/>
      <c r="J14" s="263"/>
      <c r="K14" s="263"/>
      <c r="L14" s="263"/>
      <c r="M14" s="263"/>
      <c r="N14" s="263"/>
      <c r="O14" s="264"/>
    </row>
    <row r="15" spans="1:15" x14ac:dyDescent="0.25">
      <c r="A15" s="306" t="s">
        <v>14</v>
      </c>
      <c r="B15" s="287" t="s">
        <v>31</v>
      </c>
      <c r="C15" s="287" t="s">
        <v>20</v>
      </c>
      <c r="D15" s="287" t="s">
        <v>21</v>
      </c>
      <c r="E15" s="287" t="s">
        <v>32</v>
      </c>
      <c r="F15" s="287" t="s">
        <v>17</v>
      </c>
      <c r="G15" s="287" t="s">
        <v>33</v>
      </c>
      <c r="H15" s="287" t="s">
        <v>34</v>
      </c>
      <c r="I15" s="287" t="s">
        <v>18</v>
      </c>
      <c r="J15" s="281"/>
      <c r="K15" s="281"/>
      <c r="L15" s="281"/>
      <c r="M15" s="281"/>
      <c r="N15" s="281"/>
      <c r="O15" s="264"/>
    </row>
    <row r="16" spans="1:15" ht="60" x14ac:dyDescent="0.25">
      <c r="A16" s="319">
        <v>10</v>
      </c>
      <c r="B16" s="298" t="s">
        <v>39</v>
      </c>
      <c r="C16" s="320" t="s">
        <v>208</v>
      </c>
      <c r="D16" s="321">
        <v>1.3</v>
      </c>
      <c r="E16" s="298" t="s">
        <v>32</v>
      </c>
      <c r="F16" s="299">
        <v>1</v>
      </c>
      <c r="G16" s="320" t="s">
        <v>220</v>
      </c>
      <c r="H16" s="322">
        <v>0.5</v>
      </c>
      <c r="I16" s="294">
        <f>H16*D16</f>
        <v>0.65</v>
      </c>
      <c r="J16" s="299"/>
      <c r="K16" s="263"/>
      <c r="L16" s="263"/>
      <c r="M16" s="263"/>
      <c r="N16" s="263"/>
      <c r="O16" s="264"/>
    </row>
    <row r="17" spans="1:15" x14ac:dyDescent="0.25">
      <c r="A17" s="323">
        <v>20</v>
      </c>
      <c r="B17" s="295" t="s">
        <v>209</v>
      </c>
      <c r="C17" s="296"/>
      <c r="D17" s="321">
        <v>0.01</v>
      </c>
      <c r="E17" s="295" t="s">
        <v>40</v>
      </c>
      <c r="F17" s="325">
        <v>11.7</v>
      </c>
      <c r="G17" s="298"/>
      <c r="H17" s="322"/>
      <c r="I17" s="294">
        <f>IF(H17="",D17*F17,D17*F17*H17)</f>
        <v>0.11699999999999999</v>
      </c>
      <c r="J17" s="299"/>
      <c r="K17" s="263"/>
      <c r="L17" s="263"/>
      <c r="M17" s="263"/>
      <c r="N17" s="263"/>
      <c r="O17" s="264"/>
    </row>
    <row r="18" spans="1:15" ht="60" x14ac:dyDescent="0.25">
      <c r="A18" s="319">
        <v>30</v>
      </c>
      <c r="B18" s="324" t="s">
        <v>39</v>
      </c>
      <c r="C18" s="297"/>
      <c r="D18" s="300">
        <v>0.65</v>
      </c>
      <c r="E18" s="297" t="s">
        <v>32</v>
      </c>
      <c r="F18" s="297">
        <v>1</v>
      </c>
      <c r="G18" s="320" t="s">
        <v>220</v>
      </c>
      <c r="H18" s="297">
        <v>0.5</v>
      </c>
      <c r="I18" s="301">
        <f t="shared" ref="I18:I19" si="0">IF(H18="",D18*F18,D18*F18*H18)</f>
        <v>0.32500000000000001</v>
      </c>
      <c r="J18" s="299"/>
      <c r="K18" s="263"/>
      <c r="L18" s="263"/>
      <c r="M18" s="263"/>
      <c r="N18" s="263"/>
      <c r="O18" s="264"/>
    </row>
    <row r="19" spans="1:15" x14ac:dyDescent="0.25">
      <c r="A19" s="323">
        <v>40</v>
      </c>
      <c r="B19" s="297" t="s">
        <v>92</v>
      </c>
      <c r="C19" s="297" t="s">
        <v>219</v>
      </c>
      <c r="D19" s="300">
        <v>2.9000000000000001E-2</v>
      </c>
      <c r="E19" s="297" t="s">
        <v>93</v>
      </c>
      <c r="F19" s="297">
        <v>1</v>
      </c>
      <c r="G19" s="297" t="s">
        <v>197</v>
      </c>
      <c r="H19" s="297">
        <v>3</v>
      </c>
      <c r="I19" s="301">
        <f t="shared" si="0"/>
        <v>8.7000000000000008E-2</v>
      </c>
      <c r="J19" s="302"/>
      <c r="K19" s="281"/>
      <c r="L19" s="281"/>
      <c r="M19" s="281"/>
      <c r="N19" s="281"/>
      <c r="O19" s="264"/>
    </row>
    <row r="20" spans="1:15" ht="30" x14ac:dyDescent="0.25">
      <c r="A20" s="319">
        <v>50</v>
      </c>
      <c r="B20" s="298" t="s">
        <v>162</v>
      </c>
      <c r="C20" s="296" t="s">
        <v>210</v>
      </c>
      <c r="D20" s="303">
        <v>5.25</v>
      </c>
      <c r="E20" s="298" t="s">
        <v>202</v>
      </c>
      <c r="F20" s="451">
        <f>2*J11</f>
        <v>2.2780000000000001E-3</v>
      </c>
      <c r="G20" s="298"/>
      <c r="H20" s="322"/>
      <c r="I20" s="301">
        <f>F20*D20</f>
        <v>1.19595E-2</v>
      </c>
      <c r="J20" s="304"/>
      <c r="K20" s="56"/>
      <c r="L20" s="56"/>
      <c r="M20" s="56"/>
      <c r="N20" s="56"/>
      <c r="O20" s="264"/>
    </row>
    <row r="21" spans="1:15" x14ac:dyDescent="0.25">
      <c r="A21" s="280"/>
      <c r="B21" s="281"/>
      <c r="C21" s="281"/>
      <c r="D21" s="281"/>
      <c r="E21" s="281"/>
      <c r="F21" s="281"/>
      <c r="G21" s="281"/>
      <c r="H21" s="289" t="s">
        <v>18</v>
      </c>
      <c r="I21" s="290">
        <f>SUM(I16:I20)</f>
        <v>1.1909594999999999</v>
      </c>
      <c r="J21" s="56"/>
      <c r="K21" s="56"/>
      <c r="L21" s="56"/>
      <c r="M21" s="56"/>
      <c r="N21" s="56"/>
      <c r="O21" s="264"/>
    </row>
    <row r="22" spans="1:15" ht="15.75" thickBot="1" x14ac:dyDescent="0.3">
      <c r="A22" s="284"/>
      <c r="B22" s="285"/>
      <c r="C22" s="285"/>
      <c r="D22" s="285"/>
      <c r="E22" s="285"/>
      <c r="F22" s="285"/>
      <c r="G22" s="285"/>
      <c r="H22" s="285"/>
      <c r="I22" s="285"/>
      <c r="J22" s="285"/>
      <c r="K22" s="285"/>
      <c r="L22" s="285"/>
      <c r="M22" s="285"/>
      <c r="N22" s="285"/>
      <c r="O22" s="286"/>
    </row>
  </sheetData>
  <hyperlinks>
    <hyperlink ref="B4" location="'SU A0100'!A1" display="'SU A0100'!A1" xr:uid="{00000000-0004-0000-1200-000000000000}"/>
    <hyperlink ref="F2" location="SU_A0100_BOM" display="Back to BOM" xr:uid="{00000000-0004-0000-1200-000001000000}"/>
    <hyperlink ref="E3" location="dSU_01010" display="Drawing" xr:uid="{00000000-0004-0000-12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2" fitToHeight="99" orientation="landscape" r:id="rId1"/>
  <headerFooter>
    <oddFooter>Page 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FFFF00"/>
    <pageSetUpPr fitToPage="1"/>
  </sheetPr>
  <dimension ref="A1:O64"/>
  <sheetViews>
    <sheetView zoomScale="90" zoomScaleNormal="90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45.5703125" customWidth="1"/>
    <col min="3" max="3" width="48.28515625" customWidth="1"/>
    <col min="5" max="5" width="14.140625" customWidth="1"/>
    <col min="8" max="8" width="9.42578125" customWidth="1"/>
    <col min="14" max="14" width="13.7109375" customWidth="1"/>
    <col min="15" max="15" width="5.28515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SU_A0100_pa+SU_A0100_m+SU_A0100_p+SU_A0100_f</f>
        <v>80.823417669425169</v>
      </c>
      <c r="O2" s="62"/>
    </row>
    <row r="3" spans="1:15" x14ac:dyDescent="0.25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25">
      <c r="A4" s="95" t="s">
        <v>5</v>
      </c>
      <c r="B4" s="57" t="s">
        <v>88</v>
      </c>
      <c r="C4" s="56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62"/>
    </row>
    <row r="5" spans="1:15" x14ac:dyDescent="0.25">
      <c r="A5" s="95" t="s">
        <v>7</v>
      </c>
      <c r="B5" s="18" t="s">
        <v>64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74">
        <f>N2*N3</f>
        <v>161.64683533885034</v>
      </c>
      <c r="O5" s="62"/>
    </row>
    <row r="6" spans="1:15" x14ac:dyDescent="0.25">
      <c r="A6" s="95" t="s">
        <v>10</v>
      </c>
      <c r="B6" s="16"/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62"/>
    </row>
    <row r="7" spans="1:15" x14ac:dyDescent="0.25">
      <c r="A7" s="95" t="s">
        <v>13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95" t="s">
        <v>14</v>
      </c>
      <c r="B9" s="95" t="s">
        <v>15</v>
      </c>
      <c r="C9" s="95" t="s">
        <v>16</v>
      </c>
      <c r="D9" s="95" t="s">
        <v>17</v>
      </c>
      <c r="E9" s="95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72">
        <v>10</v>
      </c>
      <c r="B10" s="86" t="str">
        <f>'SU 01001'!B5</f>
        <v>Upper Front Bearing Support</v>
      </c>
      <c r="C10" s="74">
        <f>'SU 01001'!N2</f>
        <v>15.090551905600002</v>
      </c>
      <c r="D10" s="125">
        <f>SU_01001_q</f>
        <v>1</v>
      </c>
      <c r="E10" s="74">
        <f>C10*D10</f>
        <v>15.090551905600002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25">
      <c r="A11" s="72">
        <v>20</v>
      </c>
      <c r="B11" s="86" t="str">
        <f>'SU 01002'!B5</f>
        <v>Inner Bearing Support</v>
      </c>
      <c r="C11" s="74">
        <f>'SU 01002'!N2</f>
        <v>1.8728805440000003</v>
      </c>
      <c r="D11" s="72">
        <f>SU_01002_q</f>
        <v>2</v>
      </c>
      <c r="E11" s="74">
        <f t="shared" ref="E11:E20" si="0">C11*D11</f>
        <v>3.7457610880000005</v>
      </c>
      <c r="F11" s="57"/>
      <c r="G11" s="57"/>
      <c r="H11" s="57"/>
      <c r="I11" s="57"/>
      <c r="J11" s="57"/>
      <c r="K11" s="57"/>
      <c r="L11" s="57"/>
      <c r="M11" s="57"/>
      <c r="N11" s="57"/>
      <c r="O11" s="62"/>
    </row>
    <row r="12" spans="1:15" x14ac:dyDescent="0.25">
      <c r="A12" s="72">
        <v>30</v>
      </c>
      <c r="B12" s="86" t="str">
        <f>'SU 01003'!B5</f>
        <v>Upper Front A-arm tube (Front)  Carbon Fiber Tube</v>
      </c>
      <c r="C12" s="74">
        <f>'SU 01003'!N2</f>
        <v>8.8765790399999975</v>
      </c>
      <c r="D12" s="72">
        <f>SU_01003_q</f>
        <v>1</v>
      </c>
      <c r="E12" s="74">
        <f t="shared" si="0"/>
        <v>8.8765790399999975</v>
      </c>
      <c r="F12" s="57"/>
      <c r="G12" s="57"/>
      <c r="H12" s="57"/>
      <c r="I12" s="57"/>
      <c r="J12" s="57"/>
      <c r="K12" s="57"/>
      <c r="L12" s="57"/>
      <c r="M12" s="57"/>
      <c r="N12" s="57"/>
      <c r="O12" s="64"/>
    </row>
    <row r="13" spans="1:15" s="17" customFormat="1" x14ac:dyDescent="0.25">
      <c r="A13" s="72">
        <v>40</v>
      </c>
      <c r="B13" s="86" t="str">
        <f>'SU 01004'!B5</f>
        <v>Upper Front A-arm tube (Back)  Carbon Fiber Tube</v>
      </c>
      <c r="C13" s="74">
        <f>'SU 01004'!N2</f>
        <v>7.1887787999999988</v>
      </c>
      <c r="D13" s="72">
        <f>SU_01004_q</f>
        <v>1</v>
      </c>
      <c r="E13" s="74">
        <f t="shared" si="0"/>
        <v>7.1887787999999988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s="17" customFormat="1" x14ac:dyDescent="0.25">
      <c r="A14" s="72">
        <v>50</v>
      </c>
      <c r="B14" s="86" t="str">
        <f>'SU 01005'!B5</f>
        <v>Spacer 1</v>
      </c>
      <c r="C14" s="74">
        <f>'SU 01005'!N2</f>
        <v>0.98904401600000003</v>
      </c>
      <c r="D14">
        <f>SU_01005_q</f>
        <v>2</v>
      </c>
      <c r="E14" s="74">
        <f t="shared" si="0"/>
        <v>1.9780880320000001</v>
      </c>
      <c r="F14" s="57"/>
      <c r="G14" s="57"/>
      <c r="H14" s="57"/>
      <c r="I14" s="57"/>
      <c r="J14" s="57"/>
      <c r="K14" s="57"/>
      <c r="L14" s="57"/>
      <c r="M14" s="57"/>
      <c r="N14" s="57"/>
      <c r="O14" s="65"/>
    </row>
    <row r="15" spans="1:15" s="17" customFormat="1" x14ac:dyDescent="0.25">
      <c r="A15" s="72">
        <v>60</v>
      </c>
      <c r="B15" s="86" t="s">
        <v>121</v>
      </c>
      <c r="C15" s="146">
        <f>'SU 01006'!N2</f>
        <v>0.32421353411764708</v>
      </c>
      <c r="D15" s="26">
        <f>SU_01006_q</f>
        <v>4</v>
      </c>
      <c r="E15" s="74">
        <f t="shared" si="0"/>
        <v>1.2968541364705883</v>
      </c>
      <c r="F15" s="57"/>
      <c r="G15" s="57"/>
      <c r="H15" s="57"/>
      <c r="I15" s="57"/>
      <c r="J15" s="57"/>
      <c r="K15" s="57"/>
      <c r="L15" s="57"/>
      <c r="M15" s="57"/>
      <c r="N15" s="57"/>
      <c r="O15" s="65"/>
    </row>
    <row r="16" spans="1:15" s="17" customFormat="1" x14ac:dyDescent="0.25">
      <c r="A16" s="232">
        <v>70</v>
      </c>
      <c r="B16" s="457" t="str">
        <f>'SU 01007'!B5</f>
        <v>Outboard A-arm Insert</v>
      </c>
      <c r="C16" s="460">
        <f>'SU 01007'!N2</f>
        <v>0.47719727680000001</v>
      </c>
      <c r="D16" s="459">
        <f>SU_01007_q</f>
        <v>2</v>
      </c>
      <c r="E16" s="461">
        <f t="shared" si="0"/>
        <v>0.95439455360000003</v>
      </c>
      <c r="F16" s="57"/>
      <c r="G16" s="57"/>
      <c r="H16" s="57"/>
      <c r="I16" s="57"/>
      <c r="J16" s="57"/>
      <c r="K16" s="57"/>
      <c r="L16" s="57"/>
      <c r="M16" s="57"/>
      <c r="N16" s="57"/>
      <c r="O16" s="65"/>
    </row>
    <row r="17" spans="1:15" s="17" customFormat="1" x14ac:dyDescent="0.25">
      <c r="A17" s="72">
        <v>80</v>
      </c>
      <c r="B17" s="458" t="str">
        <f>'SU 01008'!B5</f>
        <v>Front up bracket</v>
      </c>
      <c r="C17" s="460">
        <f>'SU 01008'!N2</f>
        <v>1.3930602499999998</v>
      </c>
      <c r="D17" s="459">
        <f>SU_01008_q</f>
        <v>1</v>
      </c>
      <c r="E17" s="461">
        <f t="shared" si="0"/>
        <v>1.3930602499999998</v>
      </c>
      <c r="F17" s="57"/>
      <c r="G17" s="57"/>
      <c r="H17" s="57"/>
      <c r="I17" s="57"/>
      <c r="J17" s="57"/>
      <c r="K17" s="57"/>
      <c r="L17" s="57"/>
      <c r="M17" s="57"/>
      <c r="N17" s="57"/>
      <c r="O17" s="65"/>
    </row>
    <row r="18" spans="1:15" s="17" customFormat="1" x14ac:dyDescent="0.25">
      <c r="A18" s="72">
        <v>90</v>
      </c>
      <c r="B18" s="458" t="str">
        <f>'SU 01009'!B5</f>
        <v>Front down bracket</v>
      </c>
      <c r="C18" s="460">
        <f>'SU 01009'!N2</f>
        <v>1.3590899374999998</v>
      </c>
      <c r="D18" s="459">
        <f>SU_01009_q</f>
        <v>1</v>
      </c>
      <c r="E18" s="461">
        <f t="shared" si="0"/>
        <v>1.3590899374999998</v>
      </c>
      <c r="F18" s="57"/>
      <c r="G18" s="57"/>
      <c r="H18" s="57"/>
      <c r="I18" s="57"/>
      <c r="J18" s="57"/>
      <c r="K18" s="57"/>
      <c r="L18" s="57"/>
      <c r="M18" s="57"/>
      <c r="N18" s="57"/>
      <c r="O18" s="65"/>
    </row>
    <row r="19" spans="1:15" s="17" customFormat="1" x14ac:dyDescent="0.25">
      <c r="A19" s="232">
        <v>100</v>
      </c>
      <c r="B19" s="458" t="str">
        <f>'SU 01010'!B5</f>
        <v>Rear up bracket</v>
      </c>
      <c r="C19" s="460">
        <f>'SU 01010'!N2</f>
        <v>1.3143274375</v>
      </c>
      <c r="D19" s="459">
        <f>SU_01010_q</f>
        <v>1</v>
      </c>
      <c r="E19" s="461">
        <f t="shared" si="0"/>
        <v>1.3143274375</v>
      </c>
      <c r="F19" s="57"/>
      <c r="G19" s="57"/>
      <c r="H19" s="57"/>
      <c r="I19" s="57"/>
      <c r="J19" s="57"/>
      <c r="K19" s="57"/>
      <c r="L19" s="57"/>
      <c r="M19" s="57"/>
      <c r="N19" s="57"/>
      <c r="O19" s="65"/>
    </row>
    <row r="20" spans="1:15" s="17" customFormat="1" x14ac:dyDescent="0.25">
      <c r="A20" s="72">
        <v>110</v>
      </c>
      <c r="B20" s="458" t="str">
        <f>'SU 01011'!B5</f>
        <v>Rear down bracket</v>
      </c>
      <c r="C20" s="460">
        <f>'SU 01011'!N2</f>
        <v>0.37972487499999996</v>
      </c>
      <c r="D20" s="459">
        <f>SU_01011_q</f>
        <v>1</v>
      </c>
      <c r="E20" s="461">
        <f t="shared" si="0"/>
        <v>0.37972487499999996</v>
      </c>
      <c r="F20" s="57"/>
      <c r="G20" s="57"/>
      <c r="H20" s="57"/>
      <c r="I20" s="57"/>
      <c r="J20" s="57"/>
      <c r="K20" s="57"/>
      <c r="L20" s="57"/>
      <c r="M20" s="57"/>
      <c r="N20" s="57"/>
      <c r="O20" s="65"/>
    </row>
    <row r="21" spans="1:15" x14ac:dyDescent="0.25">
      <c r="A21" s="63"/>
      <c r="B21" s="56"/>
      <c r="C21" s="56"/>
      <c r="D21" s="259" t="s">
        <v>18</v>
      </c>
      <c r="E21" s="238">
        <f>SUM(E10:E20)</f>
        <v>43.577210055670584</v>
      </c>
      <c r="F21" s="57"/>
      <c r="G21" s="57"/>
      <c r="H21" s="57"/>
      <c r="I21" s="57"/>
      <c r="J21" s="57"/>
      <c r="K21" s="57"/>
      <c r="L21" s="57"/>
      <c r="M21" s="57"/>
      <c r="N21" s="57"/>
      <c r="O21" s="62"/>
    </row>
    <row r="22" spans="1:15" x14ac:dyDescent="0.25">
      <c r="A22" s="63"/>
      <c r="B22" s="56"/>
      <c r="C22" s="56"/>
      <c r="D22" s="56"/>
      <c r="E22" s="56"/>
      <c r="F22" s="56"/>
      <c r="G22" s="56"/>
      <c r="H22" s="56"/>
      <c r="I22" s="56"/>
      <c r="J22" s="56"/>
      <c r="K22" s="56"/>
      <c r="L22" s="56"/>
      <c r="M22" s="56"/>
      <c r="N22" s="56"/>
      <c r="O22" s="62"/>
    </row>
    <row r="23" spans="1:15" x14ac:dyDescent="0.25">
      <c r="A23" s="95" t="s">
        <v>14</v>
      </c>
      <c r="B23" s="95" t="s">
        <v>19</v>
      </c>
      <c r="C23" s="95" t="s">
        <v>20</v>
      </c>
      <c r="D23" s="95" t="s">
        <v>21</v>
      </c>
      <c r="E23" s="95" t="s">
        <v>22</v>
      </c>
      <c r="F23" s="95" t="s">
        <v>23</v>
      </c>
      <c r="G23" s="95" t="s">
        <v>24</v>
      </c>
      <c r="H23" s="95" t="s">
        <v>25</v>
      </c>
      <c r="I23" s="95" t="s">
        <v>26</v>
      </c>
      <c r="J23" s="95" t="s">
        <v>27</v>
      </c>
      <c r="K23" s="95" t="s">
        <v>28</v>
      </c>
      <c r="L23" s="95" t="s">
        <v>29</v>
      </c>
      <c r="M23" s="95" t="s">
        <v>17</v>
      </c>
      <c r="N23" s="95" t="s">
        <v>18</v>
      </c>
      <c r="O23" s="62"/>
    </row>
    <row r="24" spans="1:15" ht="14.45" customHeight="1" x14ac:dyDescent="0.25">
      <c r="A24" s="72">
        <v>10</v>
      </c>
      <c r="B24" s="72" t="s">
        <v>65</v>
      </c>
      <c r="C24" s="72"/>
      <c r="D24" s="124">
        <f>0.03*E24^2+5</f>
        <v>6.92</v>
      </c>
      <c r="E24" s="72">
        <v>8</v>
      </c>
      <c r="F24" s="72" t="s">
        <v>30</v>
      </c>
      <c r="G24" s="72"/>
      <c r="H24" s="75"/>
      <c r="I24" s="76"/>
      <c r="J24" s="77"/>
      <c r="K24" s="75"/>
      <c r="L24" s="75"/>
      <c r="M24" s="81">
        <v>3</v>
      </c>
      <c r="N24" s="74">
        <f>M24*D24</f>
        <v>20.759999999999998</v>
      </c>
      <c r="O24" s="62"/>
    </row>
    <row r="25" spans="1:15" s="22" customFormat="1" ht="14.45" customHeight="1" x14ac:dyDescent="0.25">
      <c r="A25" s="232">
        <v>20</v>
      </c>
      <c r="B25" s="137" t="s">
        <v>70</v>
      </c>
      <c r="C25" s="233" t="s">
        <v>71</v>
      </c>
      <c r="D25" s="234"/>
      <c r="E25" s="561"/>
      <c r="F25" s="561">
        <v>95</v>
      </c>
      <c r="G25" s="561"/>
      <c r="H25" s="235"/>
      <c r="I25" s="562"/>
      <c r="J25" s="563"/>
      <c r="K25" s="564"/>
      <c r="L25" s="237"/>
      <c r="M25" s="236"/>
      <c r="N25" s="234">
        <f>M25*D25</f>
        <v>0</v>
      </c>
      <c r="O25" s="66"/>
    </row>
    <row r="26" spans="1:15" ht="31.9" customHeight="1" x14ac:dyDescent="0.25">
      <c r="A26" s="566">
        <v>30</v>
      </c>
      <c r="B26" s="567" t="s">
        <v>70</v>
      </c>
      <c r="C26" s="568" t="s">
        <v>72</v>
      </c>
      <c r="D26" s="569"/>
      <c r="E26" s="566"/>
      <c r="F26" s="566"/>
      <c r="G26" s="566"/>
      <c r="H26" s="570"/>
      <c r="I26" s="571"/>
      <c r="J26" s="572"/>
      <c r="K26" s="570"/>
      <c r="L26" s="573"/>
      <c r="M26" s="570"/>
      <c r="N26" s="569">
        <f>M26*D26</f>
        <v>0</v>
      </c>
      <c r="O26" s="62"/>
    </row>
    <row r="27" spans="1:15" ht="15.6" customHeight="1" x14ac:dyDescent="0.25">
      <c r="A27" s="67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39" t="s">
        <v>18</v>
      </c>
      <c r="N27" s="565">
        <f>SUM(N24:N26)</f>
        <v>20.759999999999998</v>
      </c>
      <c r="O27" s="62"/>
    </row>
    <row r="28" spans="1:15" x14ac:dyDescent="0.25">
      <c r="A28" s="63"/>
      <c r="B28" s="56"/>
      <c r="C28" s="56"/>
      <c r="D28" s="56"/>
      <c r="E28" s="56"/>
      <c r="F28" s="56"/>
      <c r="G28" s="56"/>
      <c r="H28" s="56"/>
      <c r="I28" s="56"/>
      <c r="J28" s="56"/>
      <c r="K28" s="56"/>
      <c r="L28" s="56"/>
      <c r="M28" s="56"/>
      <c r="N28" s="56"/>
      <c r="O28" s="62"/>
    </row>
    <row r="29" spans="1:15" s="25" customFormat="1" x14ac:dyDescent="0.25">
      <c r="A29" s="95" t="s">
        <v>14</v>
      </c>
      <c r="B29" s="95" t="s">
        <v>31</v>
      </c>
      <c r="C29" s="95" t="s">
        <v>20</v>
      </c>
      <c r="D29" s="95" t="s">
        <v>21</v>
      </c>
      <c r="E29" s="95" t="s">
        <v>32</v>
      </c>
      <c r="F29" s="95" t="s">
        <v>17</v>
      </c>
      <c r="G29" s="95" t="s">
        <v>33</v>
      </c>
      <c r="H29" s="95" t="s">
        <v>34</v>
      </c>
      <c r="I29" s="95" t="s">
        <v>18</v>
      </c>
      <c r="J29" s="24"/>
      <c r="K29" s="24"/>
      <c r="L29" s="24"/>
      <c r="M29" s="24"/>
      <c r="N29" s="24"/>
      <c r="O29" s="68"/>
    </row>
    <row r="30" spans="1:15" s="180" customFormat="1" x14ac:dyDescent="0.25">
      <c r="A30" s="220">
        <v>10</v>
      </c>
      <c r="B30" s="216" t="s">
        <v>76</v>
      </c>
      <c r="C30" s="221" t="s">
        <v>169</v>
      </c>
      <c r="D30" s="217">
        <v>0.02</v>
      </c>
      <c r="E30" s="220" t="s">
        <v>74</v>
      </c>
      <c r="F30" s="231">
        <v>8.66</v>
      </c>
      <c r="G30" s="231" t="s">
        <v>153</v>
      </c>
      <c r="H30" s="231">
        <v>2</v>
      </c>
      <c r="I30" s="217">
        <f t="shared" ref="I30:I51" si="1">IF(H30="",D30*F30,D30*F30*H30)</f>
        <v>0.34639999999999999</v>
      </c>
      <c r="J30" s="222"/>
      <c r="K30" s="222"/>
      <c r="L30" s="222"/>
      <c r="M30" s="222"/>
      <c r="N30" s="222"/>
      <c r="O30" s="223"/>
    </row>
    <row r="31" spans="1:15" s="180" customFormat="1" x14ac:dyDescent="0.25">
      <c r="A31" s="220">
        <v>20</v>
      </c>
      <c r="B31" s="216" t="s">
        <v>73</v>
      </c>
      <c r="C31" s="221" t="s">
        <v>170</v>
      </c>
      <c r="D31" s="217">
        <v>0.02</v>
      </c>
      <c r="E31" s="220" t="s">
        <v>74</v>
      </c>
      <c r="F31" s="231">
        <v>8.66</v>
      </c>
      <c r="G31" s="231" t="s">
        <v>153</v>
      </c>
      <c r="H31" s="231">
        <v>2</v>
      </c>
      <c r="I31" s="217">
        <f t="shared" si="1"/>
        <v>0.34639999999999999</v>
      </c>
      <c r="J31" s="224"/>
      <c r="K31" s="224"/>
      <c r="L31" s="224"/>
      <c r="M31" s="224"/>
      <c r="N31" s="224"/>
      <c r="O31" s="225"/>
    </row>
    <row r="32" spans="1:15" s="180" customFormat="1" x14ac:dyDescent="0.25">
      <c r="A32" s="220">
        <v>30</v>
      </c>
      <c r="B32" s="216" t="s">
        <v>76</v>
      </c>
      <c r="C32" s="221" t="s">
        <v>172</v>
      </c>
      <c r="D32" s="217">
        <v>0.02</v>
      </c>
      <c r="E32" s="220" t="s">
        <v>74</v>
      </c>
      <c r="F32" s="231">
        <v>8.66</v>
      </c>
      <c r="G32" s="231" t="s">
        <v>153</v>
      </c>
      <c r="H32" s="231">
        <v>2</v>
      </c>
      <c r="I32" s="217">
        <f t="shared" si="1"/>
        <v>0.34639999999999999</v>
      </c>
      <c r="J32" s="222"/>
      <c r="K32" s="222"/>
      <c r="L32" s="222"/>
      <c r="M32" s="222"/>
      <c r="N32" s="222"/>
      <c r="O32" s="223"/>
    </row>
    <row r="33" spans="1:15" s="180" customFormat="1" ht="30" x14ac:dyDescent="0.25">
      <c r="A33" s="220">
        <v>40</v>
      </c>
      <c r="B33" s="216" t="s">
        <v>154</v>
      </c>
      <c r="C33" s="226" t="s">
        <v>174</v>
      </c>
      <c r="D33" s="217">
        <v>0.06</v>
      </c>
      <c r="E33" s="216" t="s">
        <v>32</v>
      </c>
      <c r="F33" s="231">
        <v>1</v>
      </c>
      <c r="G33" s="231" t="s">
        <v>153</v>
      </c>
      <c r="H33" s="231">
        <v>2</v>
      </c>
      <c r="I33" s="217">
        <f t="shared" si="1"/>
        <v>0.12</v>
      </c>
      <c r="J33" s="224"/>
      <c r="K33" s="224"/>
      <c r="L33" s="224"/>
      <c r="M33" s="224"/>
      <c r="N33" s="224"/>
      <c r="O33" s="225"/>
    </row>
    <row r="34" spans="1:15" s="180" customFormat="1" x14ac:dyDescent="0.25">
      <c r="A34" s="220">
        <v>50</v>
      </c>
      <c r="B34" s="216" t="s">
        <v>76</v>
      </c>
      <c r="C34" s="221" t="s">
        <v>175</v>
      </c>
      <c r="D34" s="217">
        <v>0.02</v>
      </c>
      <c r="E34" s="220" t="s">
        <v>74</v>
      </c>
      <c r="F34" s="231">
        <v>12.43</v>
      </c>
      <c r="G34" s="231" t="s">
        <v>153</v>
      </c>
      <c r="H34" s="231">
        <v>2</v>
      </c>
      <c r="I34" s="217">
        <f t="shared" si="1"/>
        <v>0.49719999999999998</v>
      </c>
      <c r="J34" s="222"/>
      <c r="K34" s="222"/>
      <c r="L34" s="222"/>
      <c r="M34" s="222"/>
      <c r="N34" s="222"/>
      <c r="O34" s="223"/>
    </row>
    <row r="35" spans="1:15" s="180" customFormat="1" x14ac:dyDescent="0.25">
      <c r="A35" s="220">
        <v>60</v>
      </c>
      <c r="B35" s="216" t="s">
        <v>73</v>
      </c>
      <c r="C35" s="221" t="s">
        <v>176</v>
      </c>
      <c r="D35" s="217">
        <v>0.02</v>
      </c>
      <c r="E35" s="220" t="s">
        <v>74</v>
      </c>
      <c r="F35" s="231">
        <v>12.43</v>
      </c>
      <c r="G35" s="231" t="s">
        <v>153</v>
      </c>
      <c r="H35" s="231">
        <v>2</v>
      </c>
      <c r="I35" s="217">
        <f t="shared" si="1"/>
        <v>0.49719999999999998</v>
      </c>
      <c r="J35" s="224"/>
      <c r="K35" s="224"/>
      <c r="L35" s="224"/>
      <c r="M35" s="224"/>
      <c r="N35" s="224"/>
      <c r="O35" s="225"/>
    </row>
    <row r="36" spans="1:15" s="180" customFormat="1" x14ac:dyDescent="0.25">
      <c r="A36" s="220">
        <v>70</v>
      </c>
      <c r="B36" s="216" t="s">
        <v>76</v>
      </c>
      <c r="C36" s="221" t="s">
        <v>155</v>
      </c>
      <c r="D36" s="217">
        <v>0.02</v>
      </c>
      <c r="E36" s="220" t="s">
        <v>74</v>
      </c>
      <c r="F36" s="231">
        <v>12.43</v>
      </c>
      <c r="G36" s="231" t="s">
        <v>153</v>
      </c>
      <c r="H36" s="231">
        <v>2</v>
      </c>
      <c r="I36" s="217">
        <f t="shared" si="1"/>
        <v>0.49719999999999998</v>
      </c>
      <c r="J36" s="222"/>
      <c r="K36" s="222"/>
      <c r="L36" s="222"/>
      <c r="M36" s="222"/>
      <c r="N36" s="222"/>
      <c r="O36" s="223"/>
    </row>
    <row r="37" spans="1:15" s="180" customFormat="1" x14ac:dyDescent="0.25">
      <c r="A37" s="220">
        <v>80</v>
      </c>
      <c r="B37" s="216" t="s">
        <v>154</v>
      </c>
      <c r="C37" s="226" t="s">
        <v>177</v>
      </c>
      <c r="D37" s="217">
        <v>0.14000000000000001</v>
      </c>
      <c r="E37" s="216" t="s">
        <v>32</v>
      </c>
      <c r="F37" s="231">
        <v>1</v>
      </c>
      <c r="G37" s="231" t="s">
        <v>153</v>
      </c>
      <c r="H37" s="231">
        <v>2</v>
      </c>
      <c r="I37" s="217">
        <f t="shared" si="1"/>
        <v>0.28000000000000003</v>
      </c>
      <c r="J37" s="227"/>
      <c r="K37" s="227"/>
      <c r="L37" s="227"/>
      <c r="M37" s="227"/>
      <c r="N37" s="227"/>
      <c r="O37" s="228"/>
    </row>
    <row r="38" spans="1:15" s="180" customFormat="1" x14ac:dyDescent="0.25">
      <c r="A38" s="220">
        <v>90</v>
      </c>
      <c r="B38" s="216" t="s">
        <v>76</v>
      </c>
      <c r="C38" s="221" t="s">
        <v>171</v>
      </c>
      <c r="D38" s="217">
        <v>0.02</v>
      </c>
      <c r="E38" s="220" t="s">
        <v>74</v>
      </c>
      <c r="F38" s="231">
        <v>12.43</v>
      </c>
      <c r="G38" s="231" t="s">
        <v>153</v>
      </c>
      <c r="H38" s="231">
        <v>2</v>
      </c>
      <c r="I38" s="217">
        <f t="shared" si="1"/>
        <v>0.49719999999999998</v>
      </c>
      <c r="J38" s="222"/>
      <c r="K38" s="222"/>
      <c r="L38" s="222"/>
      <c r="M38" s="222"/>
      <c r="N38" s="222"/>
      <c r="O38" s="223"/>
    </row>
    <row r="39" spans="1:15" s="180" customFormat="1" x14ac:dyDescent="0.25">
      <c r="A39" s="220">
        <v>100</v>
      </c>
      <c r="B39" s="216" t="s">
        <v>73</v>
      </c>
      <c r="C39" s="221" t="s">
        <v>173</v>
      </c>
      <c r="D39" s="217">
        <v>0.18</v>
      </c>
      <c r="E39" s="220" t="s">
        <v>74</v>
      </c>
      <c r="F39" s="231">
        <v>12.43</v>
      </c>
      <c r="G39" s="231" t="s">
        <v>153</v>
      </c>
      <c r="H39" s="231">
        <v>2</v>
      </c>
      <c r="I39" s="217">
        <f t="shared" si="1"/>
        <v>4.4748000000000001</v>
      </c>
      <c r="J39" s="227"/>
      <c r="K39" s="227"/>
      <c r="L39" s="227"/>
      <c r="M39" s="227"/>
      <c r="N39" s="227"/>
      <c r="O39" s="223"/>
    </row>
    <row r="40" spans="1:15" s="180" customFormat="1" x14ac:dyDescent="0.25">
      <c r="A40" s="220">
        <v>110</v>
      </c>
      <c r="B40" s="216" t="s">
        <v>76</v>
      </c>
      <c r="C40" s="221" t="s">
        <v>155</v>
      </c>
      <c r="D40" s="217">
        <v>0.02</v>
      </c>
      <c r="E40" s="220" t="s">
        <v>74</v>
      </c>
      <c r="F40" s="231">
        <v>12.43</v>
      </c>
      <c r="G40" s="231" t="s">
        <v>153</v>
      </c>
      <c r="H40" s="231">
        <v>2</v>
      </c>
      <c r="I40" s="217">
        <f t="shared" si="1"/>
        <v>0.49719999999999998</v>
      </c>
      <c r="J40" s="222"/>
      <c r="K40" s="222"/>
      <c r="L40" s="222"/>
      <c r="M40" s="222"/>
      <c r="N40" s="222"/>
      <c r="O40" s="223"/>
    </row>
    <row r="41" spans="1:15" s="180" customFormat="1" ht="30" x14ac:dyDescent="0.25">
      <c r="A41" s="220">
        <v>120</v>
      </c>
      <c r="B41" s="216" t="s">
        <v>154</v>
      </c>
      <c r="C41" s="226" t="s">
        <v>178</v>
      </c>
      <c r="D41" s="217">
        <v>0.22</v>
      </c>
      <c r="E41" s="216" t="s">
        <v>32</v>
      </c>
      <c r="F41" s="231">
        <v>1</v>
      </c>
      <c r="G41" s="231" t="s">
        <v>153</v>
      </c>
      <c r="H41" s="231">
        <v>2</v>
      </c>
      <c r="I41" s="217">
        <f t="shared" si="1"/>
        <v>0.44</v>
      </c>
      <c r="J41" s="227"/>
      <c r="K41" s="227"/>
      <c r="L41" s="227"/>
      <c r="M41" s="227"/>
      <c r="N41" s="227"/>
      <c r="O41" s="223"/>
    </row>
    <row r="42" spans="1:15" s="180" customFormat="1" x14ac:dyDescent="0.25">
      <c r="A42" s="220">
        <v>130</v>
      </c>
      <c r="B42" s="216" t="s">
        <v>76</v>
      </c>
      <c r="C42" s="221" t="s">
        <v>156</v>
      </c>
      <c r="D42" s="217">
        <v>0.02</v>
      </c>
      <c r="E42" s="220" t="s">
        <v>74</v>
      </c>
      <c r="F42" s="231">
        <v>4.01</v>
      </c>
      <c r="G42" s="231" t="s">
        <v>157</v>
      </c>
      <c r="H42" s="231">
        <v>3</v>
      </c>
      <c r="I42" s="217">
        <f t="shared" si="1"/>
        <v>0.24059999999999998</v>
      </c>
      <c r="J42" s="222"/>
      <c r="K42" s="222"/>
      <c r="L42" s="222"/>
      <c r="M42" s="222"/>
      <c r="N42" s="222"/>
      <c r="O42" s="223"/>
    </row>
    <row r="43" spans="1:15" s="180" customFormat="1" x14ac:dyDescent="0.25">
      <c r="A43" s="220">
        <v>140</v>
      </c>
      <c r="B43" s="229" t="s">
        <v>73</v>
      </c>
      <c r="C43" s="221" t="s">
        <v>158</v>
      </c>
      <c r="D43" s="217">
        <v>0.02</v>
      </c>
      <c r="E43" s="220" t="s">
        <v>74</v>
      </c>
      <c r="F43" s="231">
        <v>4.01</v>
      </c>
      <c r="G43" s="231" t="s">
        <v>157</v>
      </c>
      <c r="H43" s="231">
        <v>3</v>
      </c>
      <c r="I43" s="217">
        <f t="shared" si="1"/>
        <v>0.24059999999999998</v>
      </c>
      <c r="J43" s="227"/>
      <c r="K43" s="227"/>
      <c r="L43" s="227"/>
      <c r="M43" s="227"/>
      <c r="N43" s="227"/>
      <c r="O43" s="223"/>
    </row>
    <row r="44" spans="1:15" s="180" customFormat="1" x14ac:dyDescent="0.25">
      <c r="A44" s="220">
        <v>150</v>
      </c>
      <c r="B44" s="216" t="s">
        <v>154</v>
      </c>
      <c r="C44" s="221" t="s">
        <v>159</v>
      </c>
      <c r="D44" s="217">
        <v>0.3</v>
      </c>
      <c r="E44" s="216" t="s">
        <v>32</v>
      </c>
      <c r="F44" s="231">
        <v>1</v>
      </c>
      <c r="G44" s="231" t="s">
        <v>157</v>
      </c>
      <c r="H44" s="231">
        <v>3</v>
      </c>
      <c r="I44" s="217">
        <f t="shared" si="1"/>
        <v>0.89999999999999991</v>
      </c>
      <c r="J44" s="227"/>
      <c r="K44" s="227"/>
      <c r="L44" s="227"/>
      <c r="M44" s="227"/>
      <c r="N44" s="227"/>
      <c r="O44" s="223"/>
    </row>
    <row r="45" spans="1:15" s="180" customFormat="1" x14ac:dyDescent="0.25">
      <c r="A45" s="220">
        <v>160</v>
      </c>
      <c r="B45" s="220" t="s">
        <v>160</v>
      </c>
      <c r="C45" s="221" t="s">
        <v>161</v>
      </c>
      <c r="D45" s="217">
        <v>0.15</v>
      </c>
      <c r="E45" s="220" t="s">
        <v>74</v>
      </c>
      <c r="F45" s="231">
        <v>22</v>
      </c>
      <c r="G45" s="231"/>
      <c r="H45" s="215"/>
      <c r="I45" s="217">
        <f t="shared" si="1"/>
        <v>3.3</v>
      </c>
      <c r="J45" s="227"/>
      <c r="K45" s="227"/>
      <c r="L45" s="227"/>
      <c r="M45" s="227"/>
      <c r="N45" s="227"/>
      <c r="O45" s="223"/>
    </row>
    <row r="46" spans="1:15" s="180" customFormat="1" x14ac:dyDescent="0.25">
      <c r="A46" s="220">
        <v>170</v>
      </c>
      <c r="B46" s="216" t="s">
        <v>162</v>
      </c>
      <c r="C46" s="226" t="s">
        <v>163</v>
      </c>
      <c r="D46" s="217">
        <v>5.25</v>
      </c>
      <c r="E46" s="216" t="s">
        <v>77</v>
      </c>
      <c r="F46" s="231">
        <v>0.01</v>
      </c>
      <c r="G46" s="231"/>
      <c r="H46" s="215"/>
      <c r="I46" s="217">
        <f t="shared" si="1"/>
        <v>5.2499999999999998E-2</v>
      </c>
      <c r="J46" s="227"/>
      <c r="K46" s="227"/>
      <c r="L46" s="227"/>
      <c r="M46" s="230"/>
      <c r="N46" s="227"/>
      <c r="O46" s="223"/>
    </row>
    <row r="47" spans="1:15" s="180" customFormat="1" x14ac:dyDescent="0.25">
      <c r="A47" s="220">
        <v>180</v>
      </c>
      <c r="B47" s="220" t="s">
        <v>154</v>
      </c>
      <c r="C47" s="221" t="s">
        <v>164</v>
      </c>
      <c r="D47" s="217">
        <v>0.14000000000000001</v>
      </c>
      <c r="E47" s="220" t="s">
        <v>32</v>
      </c>
      <c r="F47" s="231">
        <v>1</v>
      </c>
      <c r="G47" s="231"/>
      <c r="H47" s="215"/>
      <c r="I47" s="217">
        <f t="shared" si="1"/>
        <v>0.14000000000000001</v>
      </c>
      <c r="J47" s="227"/>
      <c r="K47" s="227"/>
      <c r="L47" s="227"/>
      <c r="M47" s="227"/>
      <c r="N47" s="227"/>
      <c r="O47" s="223"/>
    </row>
    <row r="48" spans="1:15" s="180" customFormat="1" x14ac:dyDescent="0.25">
      <c r="A48" s="220">
        <v>190</v>
      </c>
      <c r="B48" s="216" t="s">
        <v>75</v>
      </c>
      <c r="C48" s="226" t="s">
        <v>165</v>
      </c>
      <c r="D48" s="217">
        <v>0.13</v>
      </c>
      <c r="E48" s="216" t="s">
        <v>32</v>
      </c>
      <c r="F48" s="231">
        <v>4</v>
      </c>
      <c r="G48" s="231"/>
      <c r="H48" s="215"/>
      <c r="I48" s="217">
        <f t="shared" si="1"/>
        <v>0.52</v>
      </c>
      <c r="J48" s="227"/>
      <c r="K48" s="227"/>
      <c r="L48" s="227"/>
      <c r="M48" s="227"/>
      <c r="N48" s="227"/>
      <c r="O48" s="223"/>
    </row>
    <row r="49" spans="1:15" s="180" customFormat="1" x14ac:dyDescent="0.25">
      <c r="A49" s="220">
        <v>200</v>
      </c>
      <c r="B49" s="216" t="s">
        <v>75</v>
      </c>
      <c r="C49" s="226" t="s">
        <v>166</v>
      </c>
      <c r="D49" s="217">
        <v>0.13</v>
      </c>
      <c r="E49" s="216" t="s">
        <v>32</v>
      </c>
      <c r="F49" s="231">
        <v>8</v>
      </c>
      <c r="G49" s="231"/>
      <c r="H49" s="215"/>
      <c r="I49" s="217">
        <f t="shared" si="1"/>
        <v>1.04</v>
      </c>
      <c r="J49" s="227"/>
      <c r="K49" s="227"/>
      <c r="L49" s="227"/>
      <c r="M49" s="227"/>
      <c r="N49" s="227"/>
      <c r="O49" s="223"/>
    </row>
    <row r="50" spans="1:15" s="180" customFormat="1" x14ac:dyDescent="0.25">
      <c r="A50" s="220">
        <v>210</v>
      </c>
      <c r="B50" s="220" t="s">
        <v>78</v>
      </c>
      <c r="C50" s="221" t="s">
        <v>167</v>
      </c>
      <c r="D50" s="217">
        <v>0.13</v>
      </c>
      <c r="E50" s="220" t="s">
        <v>32</v>
      </c>
      <c r="F50" s="231">
        <v>2</v>
      </c>
      <c r="G50" s="231"/>
      <c r="H50" s="215"/>
      <c r="I50" s="217">
        <f t="shared" si="1"/>
        <v>0.26</v>
      </c>
      <c r="J50" s="227"/>
      <c r="K50" s="227"/>
      <c r="L50" s="227"/>
      <c r="M50" s="227"/>
      <c r="N50" s="227"/>
      <c r="O50" s="223"/>
    </row>
    <row r="51" spans="1:15" s="180" customFormat="1" x14ac:dyDescent="0.25">
      <c r="A51" s="220">
        <v>220</v>
      </c>
      <c r="B51" s="216" t="s">
        <v>79</v>
      </c>
      <c r="C51" s="226" t="s">
        <v>168</v>
      </c>
      <c r="D51" s="217">
        <v>0.25</v>
      </c>
      <c r="E51" s="216" t="s">
        <v>32</v>
      </c>
      <c r="F51" s="231">
        <v>2</v>
      </c>
      <c r="G51" s="231"/>
      <c r="H51" s="215"/>
      <c r="I51" s="217">
        <f t="shared" si="1"/>
        <v>0.5</v>
      </c>
      <c r="J51" s="227"/>
      <c r="K51" s="227"/>
      <c r="L51" s="227"/>
      <c r="M51" s="227"/>
      <c r="N51" s="227"/>
      <c r="O51" s="228"/>
    </row>
    <row r="52" spans="1:15" x14ac:dyDescent="0.25">
      <c r="A52" s="67"/>
      <c r="B52" s="24"/>
      <c r="C52" s="24"/>
      <c r="D52" s="24"/>
      <c r="E52" s="24"/>
      <c r="F52" s="24"/>
      <c r="G52" s="24"/>
      <c r="H52" s="98" t="s">
        <v>18</v>
      </c>
      <c r="I52" s="97">
        <f>SUM(I30:I51)</f>
        <v>16.033700000000003</v>
      </c>
      <c r="J52" s="56"/>
      <c r="K52" s="56"/>
      <c r="L52" s="56"/>
      <c r="M52" s="56"/>
      <c r="N52" s="56"/>
      <c r="O52" s="62"/>
    </row>
    <row r="53" spans="1:15" x14ac:dyDescent="0.25">
      <c r="A53" s="63"/>
      <c r="B53" s="56"/>
      <c r="C53" s="56"/>
      <c r="D53" s="56"/>
      <c r="E53" s="56"/>
      <c r="F53" s="56"/>
      <c r="G53" s="56"/>
      <c r="H53" s="56"/>
      <c r="I53" s="56"/>
      <c r="J53" s="56"/>
      <c r="K53" s="56"/>
      <c r="L53" s="56"/>
      <c r="M53" s="56"/>
      <c r="N53" s="56"/>
      <c r="O53" s="62"/>
    </row>
    <row r="54" spans="1:15" x14ac:dyDescent="0.25">
      <c r="A54" s="95" t="s">
        <v>14</v>
      </c>
      <c r="B54" s="95" t="s">
        <v>36</v>
      </c>
      <c r="C54" s="95" t="s">
        <v>20</v>
      </c>
      <c r="D54" s="95" t="s">
        <v>21</v>
      </c>
      <c r="E54" s="95" t="s">
        <v>22</v>
      </c>
      <c r="F54" s="95" t="s">
        <v>23</v>
      </c>
      <c r="G54" s="95" t="s">
        <v>24</v>
      </c>
      <c r="H54" s="95" t="s">
        <v>25</v>
      </c>
      <c r="I54" s="95" t="s">
        <v>17</v>
      </c>
      <c r="J54" s="95" t="s">
        <v>18</v>
      </c>
      <c r="K54" s="56"/>
      <c r="L54" s="56"/>
      <c r="M54" s="56"/>
      <c r="N54" s="56"/>
      <c r="O54" s="62"/>
    </row>
    <row r="55" spans="1:15" x14ac:dyDescent="0.25">
      <c r="A55" s="135">
        <v>10</v>
      </c>
      <c r="B55" s="135" t="s">
        <v>80</v>
      </c>
      <c r="C55" s="135" t="s">
        <v>81</v>
      </c>
      <c r="D55" s="138">
        <f>0.8/105154*E55^2*G55*SQRT(G55)+(0.003*EXP(0.319*E55))</f>
        <v>0.16167651505774214</v>
      </c>
      <c r="E55" s="135">
        <v>8</v>
      </c>
      <c r="F55" s="127" t="s">
        <v>30</v>
      </c>
      <c r="G55" s="240">
        <v>40</v>
      </c>
      <c r="H55" s="136" t="s">
        <v>30</v>
      </c>
      <c r="I55" s="128">
        <v>2</v>
      </c>
      <c r="J55" s="129">
        <f>D55*I55</f>
        <v>0.32335303011548427</v>
      </c>
      <c r="K55" s="56"/>
      <c r="L55" s="56"/>
      <c r="M55" s="56"/>
      <c r="N55" s="56"/>
      <c r="O55" s="62"/>
    </row>
    <row r="56" spans="1:15" x14ac:dyDescent="0.25">
      <c r="A56" s="135">
        <v>20</v>
      </c>
      <c r="B56" s="135" t="s">
        <v>82</v>
      </c>
      <c r="C56" s="135" t="s">
        <v>83</v>
      </c>
      <c r="D56" s="139">
        <f>(0.009*EXP(0.2*E56))</f>
        <v>4.4577291819556032E-2</v>
      </c>
      <c r="E56" s="135">
        <v>8</v>
      </c>
      <c r="F56" s="127" t="s">
        <v>30</v>
      </c>
      <c r="G56" s="135"/>
      <c r="H56" s="136"/>
      <c r="I56" s="130">
        <v>2</v>
      </c>
      <c r="J56" s="126">
        <f>D56*I56</f>
        <v>8.9154583639112064E-2</v>
      </c>
      <c r="K56" s="56"/>
      <c r="L56" s="56"/>
      <c r="M56" s="56"/>
      <c r="N56" s="56"/>
      <c r="O56" s="62"/>
    </row>
    <row r="57" spans="1:15" x14ac:dyDescent="0.25">
      <c r="A57" s="135">
        <v>30</v>
      </c>
      <c r="B57" s="135" t="s">
        <v>84</v>
      </c>
      <c r="C57" s="135" t="s">
        <v>85</v>
      </c>
      <c r="D57" s="135">
        <v>0.01</v>
      </c>
      <c r="E57" s="135">
        <v>8</v>
      </c>
      <c r="F57" s="127" t="s">
        <v>30</v>
      </c>
      <c r="G57" s="135"/>
      <c r="H57" s="136"/>
      <c r="I57" s="130">
        <v>4</v>
      </c>
      <c r="J57" s="126">
        <f>D57*I57</f>
        <v>0.04</v>
      </c>
      <c r="K57" s="58"/>
      <c r="L57" s="58"/>
      <c r="M57" s="58"/>
      <c r="N57" s="58"/>
      <c r="O57" s="62"/>
    </row>
    <row r="58" spans="1:15" x14ac:dyDescent="0.25">
      <c r="A58" s="67"/>
      <c r="B58" s="24"/>
      <c r="C58" s="24"/>
      <c r="D58" s="24"/>
      <c r="E58" s="24"/>
      <c r="F58" s="24"/>
      <c r="G58" s="24"/>
      <c r="H58" s="24"/>
      <c r="I58" s="98" t="s">
        <v>18</v>
      </c>
      <c r="J58" s="97">
        <f>SUM(J55:J57)</f>
        <v>0.45250761375459631</v>
      </c>
      <c r="K58" s="56"/>
      <c r="L58" s="56"/>
      <c r="M58" s="56"/>
      <c r="N58" s="56"/>
      <c r="O58" s="62"/>
    </row>
    <row r="59" spans="1:15" x14ac:dyDescent="0.25">
      <c r="A59" s="63"/>
      <c r="B59" s="56"/>
      <c r="C59" s="56"/>
      <c r="D59" s="56"/>
      <c r="E59" s="56"/>
      <c r="F59" s="56"/>
      <c r="G59" s="56"/>
      <c r="H59" s="56"/>
      <c r="I59" s="56"/>
      <c r="J59" s="56"/>
      <c r="K59" s="56"/>
      <c r="L59" s="56"/>
      <c r="M59" s="56"/>
      <c r="N59" s="56"/>
      <c r="O59" s="62"/>
    </row>
    <row r="60" spans="1:15" s="180" customFormat="1" x14ac:dyDescent="0.25">
      <c r="A60" s="95" t="s">
        <v>14</v>
      </c>
      <c r="B60" s="95" t="s">
        <v>179</v>
      </c>
      <c r="C60" s="95" t="s">
        <v>20</v>
      </c>
      <c r="D60" s="95" t="s">
        <v>21</v>
      </c>
      <c r="E60" s="95" t="s">
        <v>32</v>
      </c>
      <c r="F60" s="95" t="s">
        <v>17</v>
      </c>
      <c r="G60" s="95" t="s">
        <v>180</v>
      </c>
      <c r="H60" s="95" t="s">
        <v>181</v>
      </c>
      <c r="I60" s="95" t="s">
        <v>18</v>
      </c>
      <c r="J60" s="222"/>
      <c r="K60" s="224"/>
      <c r="L60" s="224"/>
      <c r="M60" s="224"/>
      <c r="N60" s="224"/>
      <c r="O60" s="225"/>
    </row>
    <row r="61" spans="1:15" s="180" customFormat="1" x14ac:dyDescent="0.25">
      <c r="A61" s="220">
        <v>10</v>
      </c>
      <c r="B61" s="220" t="s">
        <v>182</v>
      </c>
      <c r="C61" s="220" t="s">
        <v>183</v>
      </c>
      <c r="D61" s="242">
        <v>500</v>
      </c>
      <c r="E61" s="220" t="s">
        <v>184</v>
      </c>
      <c r="F61" s="220">
        <f>8</f>
        <v>8</v>
      </c>
      <c r="G61" s="220">
        <v>3000</v>
      </c>
      <c r="H61" s="220">
        <v>1</v>
      </c>
      <c r="I61" s="243">
        <f>D61*F61/G61*H61</f>
        <v>1.3333333333333333</v>
      </c>
      <c r="J61" s="222"/>
      <c r="K61" s="224"/>
      <c r="L61" s="224"/>
      <c r="M61" s="224"/>
      <c r="N61" s="224"/>
      <c r="O61" s="225"/>
    </row>
    <row r="62" spans="1:15" s="180" customFormat="1" x14ac:dyDescent="0.25">
      <c r="A62" s="244"/>
      <c r="B62" s="222"/>
      <c r="C62" s="222"/>
      <c r="D62" s="222"/>
      <c r="E62" s="222"/>
      <c r="F62" s="222"/>
      <c r="G62" s="222"/>
      <c r="H62" s="246" t="s">
        <v>18</v>
      </c>
      <c r="I62" s="245">
        <f>SUM(I61:I61)</f>
        <v>1.3333333333333333</v>
      </c>
      <c r="J62" s="222"/>
      <c r="K62" s="224"/>
      <c r="L62" s="224"/>
      <c r="M62" s="224"/>
      <c r="N62" s="224"/>
      <c r="O62" s="225"/>
    </row>
    <row r="63" spans="1:15" ht="15.75" thickBot="1" x14ac:dyDescent="0.3">
      <c r="A63" s="69"/>
      <c r="B63" s="70"/>
      <c r="C63" s="70"/>
      <c r="D63" s="70"/>
      <c r="E63" s="70"/>
      <c r="F63" s="70"/>
      <c r="G63" s="70"/>
      <c r="H63" s="70"/>
      <c r="I63" s="70"/>
      <c r="J63" s="70"/>
      <c r="K63" s="70"/>
      <c r="L63" s="70"/>
      <c r="M63" s="70"/>
      <c r="N63" s="70"/>
      <c r="O63" s="71"/>
    </row>
    <row r="64" spans="1:15" x14ac:dyDescent="0.25">
      <c r="A64" s="56"/>
      <c r="B64" s="56"/>
      <c r="C64" s="56"/>
      <c r="D64" s="56"/>
      <c r="E64" s="56"/>
      <c r="F64" s="56"/>
      <c r="G64" s="56"/>
      <c r="H64" s="56"/>
      <c r="I64" s="56"/>
      <c r="J64" s="56"/>
      <c r="K64" s="56"/>
      <c r="L64" s="56"/>
      <c r="M64" s="56"/>
      <c r="N64" s="56"/>
    </row>
  </sheetData>
  <hyperlinks>
    <hyperlink ref="B10" location="SU_01001" display="SU_01001" xr:uid="{00000000-0004-0000-0100-000000000000}"/>
    <hyperlink ref="B11:B13" location="BR_01001" display="BR_01001" xr:uid="{00000000-0004-0000-0100-000001000000}"/>
    <hyperlink ref="B14" location="SU_01005" display="SU_01005" xr:uid="{00000000-0004-0000-0100-000002000000}"/>
    <hyperlink ref="B16" location="SU_01007" display="SU_01007" xr:uid="{00000000-0004-0000-0100-000003000000}"/>
    <hyperlink ref="B11" location="SU_01002" display="SU_01002" xr:uid="{00000000-0004-0000-0100-000004000000}"/>
    <hyperlink ref="B12" location="SU_01003" display="SU_01003" xr:uid="{00000000-0004-0000-0100-000005000000}"/>
    <hyperlink ref="B13" location="SU_01004" display="SU_01004" xr:uid="{00000000-0004-0000-0100-000006000000}"/>
    <hyperlink ref="E2" location="SU_A0100_BOM" display="Back to BOM" xr:uid="{00000000-0004-0000-0100-000007000000}"/>
    <hyperlink ref="B15" location="SU_01006" display="Spacer 2" xr:uid="{00000000-0004-0000-0100-000008000000}"/>
    <hyperlink ref="B17" location="SU_01008" display="SU_01008" xr:uid="{00000000-0004-0000-0100-000009000000}"/>
    <hyperlink ref="B18" location="SU_01010" display="SU_01010" xr:uid="{00000000-0004-0000-0100-00000A000000}"/>
    <hyperlink ref="B19" location="SU_01010" display="SU_01010" xr:uid="{00000000-0004-0000-0100-00000B000000}"/>
    <hyperlink ref="B20" location="SU_01011" display="SU_01011" xr:uid="{00000000-0004-0000-0100-00000C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5" firstPageNumber="0" fitToHeight="99" orientation="landscape" r:id="rId1"/>
  <headerFooter>
    <oddFooter>Page &amp;P</oddFooter>
  </headerFooter>
  <rowBreaks count="1" manualBreakCount="1">
    <brk id="63" max="16383" man="1"/>
  </rowBreaks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3.5703125" customWidth="1"/>
  </cols>
  <sheetData>
    <row r="1" spans="1:2" x14ac:dyDescent="0.25">
      <c r="A1" t="s">
        <v>124</v>
      </c>
      <c r="B1" s="275" t="s">
        <v>213</v>
      </c>
    </row>
  </sheetData>
  <hyperlinks>
    <hyperlink ref="B1" location="SU_01010" display="SU_01010" xr:uid="{00000000-0004-0000-13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17.42578125" customWidth="1"/>
    <col min="3" max="3" width="17.28515625" customWidth="1"/>
  </cols>
  <sheetData>
    <row r="1" spans="1:15" x14ac:dyDescent="0.25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25">
      <c r="A2" s="305" t="s">
        <v>0</v>
      </c>
      <c r="B2" s="16" t="s">
        <v>37</v>
      </c>
      <c r="C2" s="263"/>
      <c r="D2" s="263"/>
      <c r="E2" s="263"/>
      <c r="F2" s="271" t="s">
        <v>62</v>
      </c>
      <c r="G2" s="263"/>
      <c r="H2" s="263"/>
      <c r="I2" s="263"/>
      <c r="J2" s="99" t="s">
        <v>1</v>
      </c>
      <c r="K2" s="267">
        <v>81</v>
      </c>
      <c r="L2" s="263"/>
      <c r="M2" s="291" t="s">
        <v>16</v>
      </c>
      <c r="N2" s="265">
        <v>0.37972487499999996</v>
      </c>
      <c r="O2" s="264"/>
    </row>
    <row r="3" spans="1:15" x14ac:dyDescent="0.25">
      <c r="A3" s="305" t="s">
        <v>3</v>
      </c>
      <c r="B3" s="16" t="str">
        <f>'SU A0100'!B3</f>
        <v>Suspension &amp; Shocks</v>
      </c>
      <c r="C3" s="267"/>
      <c r="D3" s="338" t="s">
        <v>6</v>
      </c>
      <c r="E3" s="275" t="s">
        <v>60</v>
      </c>
      <c r="F3" s="263"/>
      <c r="G3" s="263"/>
      <c r="H3" s="263"/>
      <c r="I3" s="263"/>
      <c r="J3" s="263"/>
      <c r="K3" s="263"/>
      <c r="L3" s="263"/>
      <c r="M3" s="291" t="s">
        <v>4</v>
      </c>
      <c r="N3" s="268">
        <v>1</v>
      </c>
      <c r="O3" s="264"/>
    </row>
    <row r="4" spans="1:15" x14ac:dyDescent="0.25">
      <c r="A4" s="305" t="s">
        <v>5</v>
      </c>
      <c r="B4" s="87" t="str">
        <f>'SU A0100'!B4</f>
        <v>Upper Front A-arm</v>
      </c>
      <c r="C4" s="263"/>
      <c r="D4" s="338" t="s">
        <v>8</v>
      </c>
      <c r="E4" s="340"/>
      <c r="F4" s="263"/>
      <c r="G4" s="263"/>
      <c r="H4" s="263"/>
      <c r="I4" s="263"/>
      <c r="J4" s="99" t="s">
        <v>6</v>
      </c>
      <c r="K4" s="263"/>
      <c r="L4" s="263"/>
      <c r="M4" s="263"/>
      <c r="N4" s="263"/>
      <c r="O4" s="264"/>
    </row>
    <row r="5" spans="1:15" x14ac:dyDescent="0.25">
      <c r="A5" s="305" t="s">
        <v>15</v>
      </c>
      <c r="B5" s="72" t="s">
        <v>218</v>
      </c>
      <c r="C5" s="263"/>
      <c r="D5" s="338" t="s">
        <v>12</v>
      </c>
      <c r="E5" s="340"/>
      <c r="F5" s="263"/>
      <c r="G5" s="263"/>
      <c r="H5" s="263"/>
      <c r="I5" s="263"/>
      <c r="J5" s="99" t="s">
        <v>8</v>
      </c>
      <c r="K5" s="263"/>
      <c r="L5" s="263"/>
      <c r="M5" s="291" t="s">
        <v>9</v>
      </c>
      <c r="N5" s="265">
        <f>N2*SU_01011_q</f>
        <v>0.37972487499999996</v>
      </c>
      <c r="O5" s="264"/>
    </row>
    <row r="6" spans="1:15" x14ac:dyDescent="0.25">
      <c r="A6" s="305" t="s">
        <v>7</v>
      </c>
      <c r="B6" s="28" t="s">
        <v>214</v>
      </c>
      <c r="C6" s="263"/>
      <c r="D6" s="263"/>
      <c r="E6" s="263"/>
      <c r="F6" s="263"/>
      <c r="G6" s="263"/>
      <c r="H6" s="263"/>
      <c r="I6" s="263"/>
      <c r="J6" s="99" t="s">
        <v>12</v>
      </c>
      <c r="K6" s="263"/>
      <c r="L6" s="263"/>
      <c r="M6" s="263"/>
      <c r="N6" s="263"/>
      <c r="O6" s="264"/>
    </row>
    <row r="7" spans="1:15" x14ac:dyDescent="0.25">
      <c r="A7" s="305" t="s">
        <v>10</v>
      </c>
      <c r="B7" s="16" t="s">
        <v>11</v>
      </c>
      <c r="C7" s="263"/>
      <c r="D7" s="263"/>
      <c r="E7" s="263"/>
      <c r="F7" s="263"/>
      <c r="G7" s="263"/>
      <c r="H7" s="263"/>
      <c r="I7" s="263"/>
      <c r="J7" s="263"/>
      <c r="K7" s="263"/>
      <c r="L7" s="263"/>
      <c r="M7" s="263"/>
      <c r="N7" s="263"/>
      <c r="O7" s="264"/>
    </row>
    <row r="8" spans="1:15" x14ac:dyDescent="0.25">
      <c r="A8" s="305" t="s">
        <v>13</v>
      </c>
      <c r="B8" s="263" t="s">
        <v>203</v>
      </c>
      <c r="C8" s="263"/>
      <c r="D8" s="263"/>
      <c r="E8" s="263"/>
      <c r="F8" s="263"/>
      <c r="G8" s="263"/>
      <c r="H8" s="263"/>
      <c r="I8" s="263"/>
      <c r="J8" s="263"/>
      <c r="K8" s="263"/>
      <c r="L8" s="263"/>
      <c r="M8" s="263"/>
      <c r="N8" s="263"/>
      <c r="O8" s="264"/>
    </row>
    <row r="9" spans="1:15" x14ac:dyDescent="0.25">
      <c r="A9" s="279"/>
      <c r="B9" s="263"/>
      <c r="C9" s="263"/>
      <c r="D9" s="263"/>
      <c r="E9" s="263"/>
      <c r="F9" s="263"/>
      <c r="G9" s="263"/>
      <c r="H9" s="263"/>
      <c r="I9" s="263"/>
      <c r="J9" s="263"/>
      <c r="K9" s="263"/>
      <c r="L9" s="263"/>
      <c r="M9" s="263"/>
      <c r="N9" s="263"/>
      <c r="O9" s="264"/>
    </row>
    <row r="10" spans="1:15" x14ac:dyDescent="0.25">
      <c r="A10" s="306" t="s">
        <v>14</v>
      </c>
      <c r="B10" s="287" t="s">
        <v>19</v>
      </c>
      <c r="C10" s="287" t="s">
        <v>20</v>
      </c>
      <c r="D10" s="287" t="s">
        <v>21</v>
      </c>
      <c r="E10" s="287" t="s">
        <v>22</v>
      </c>
      <c r="F10" s="287" t="s">
        <v>23</v>
      </c>
      <c r="G10" s="287" t="s">
        <v>24</v>
      </c>
      <c r="H10" s="287" t="s">
        <v>25</v>
      </c>
      <c r="I10" s="287" t="s">
        <v>26</v>
      </c>
      <c r="J10" s="287" t="s">
        <v>27</v>
      </c>
      <c r="K10" s="287" t="s">
        <v>28</v>
      </c>
      <c r="L10" s="287" t="s">
        <v>29</v>
      </c>
      <c r="M10" s="287" t="s">
        <v>17</v>
      </c>
      <c r="N10" s="287" t="s">
        <v>18</v>
      </c>
      <c r="O10" s="264"/>
    </row>
    <row r="11" spans="1:15" ht="30" x14ac:dyDescent="0.25">
      <c r="A11" s="283">
        <v>10</v>
      </c>
      <c r="B11" s="307" t="s">
        <v>204</v>
      </c>
      <c r="C11" s="308" t="s">
        <v>205</v>
      </c>
      <c r="D11" s="293">
        <v>2.25</v>
      </c>
      <c r="E11" s="309">
        <f>J11*K11*L11</f>
        <v>4.9847500000000003E-2</v>
      </c>
      <c r="F11" s="310" t="s">
        <v>141</v>
      </c>
      <c r="G11" s="310"/>
      <c r="H11" s="311"/>
      <c r="I11" s="312" t="s">
        <v>206</v>
      </c>
      <c r="J11" s="313">
        <v>1.2700000000000001E-3</v>
      </c>
      <c r="K11" s="313">
        <v>5.0000000000000001E-3</v>
      </c>
      <c r="L11" s="314">
        <v>7850</v>
      </c>
      <c r="M11" s="314">
        <v>1</v>
      </c>
      <c r="N11" s="315">
        <f>IF(J11="",D11*M11,D11*J11*K11*L11*M11)</f>
        <v>0.11215687500000002</v>
      </c>
      <c r="O11" s="264"/>
    </row>
    <row r="12" spans="1:15" x14ac:dyDescent="0.25">
      <c r="A12" s="283">
        <v>20</v>
      </c>
      <c r="B12" s="307" t="s">
        <v>207</v>
      </c>
      <c r="C12" s="308"/>
      <c r="D12" s="316">
        <v>10</v>
      </c>
      <c r="E12" s="317">
        <f>2*J11</f>
        <v>2.5400000000000002E-3</v>
      </c>
      <c r="F12" s="318" t="s">
        <v>202</v>
      </c>
      <c r="G12" s="310"/>
      <c r="H12" s="311"/>
      <c r="I12" s="312"/>
      <c r="J12" s="313"/>
      <c r="K12" s="311"/>
      <c r="L12" s="314"/>
      <c r="M12" s="314"/>
      <c r="N12" s="315">
        <f>E12*D12</f>
        <v>2.5400000000000002E-2</v>
      </c>
      <c r="O12" s="264"/>
    </row>
    <row r="13" spans="1:15" x14ac:dyDescent="0.25">
      <c r="A13" s="280"/>
      <c r="B13" s="281"/>
      <c r="C13" s="281"/>
      <c r="D13" s="281"/>
      <c r="E13" s="281"/>
      <c r="F13" s="281"/>
      <c r="G13" s="281"/>
      <c r="H13" s="281"/>
      <c r="I13" s="281"/>
      <c r="J13" s="281"/>
      <c r="K13" s="281"/>
      <c r="L13" s="281"/>
      <c r="M13" s="289" t="s">
        <v>18</v>
      </c>
      <c r="N13" s="288">
        <f>SUM(N11:N12)</f>
        <v>0.13755687500000002</v>
      </c>
      <c r="O13" s="264"/>
    </row>
    <row r="14" spans="1:15" x14ac:dyDescent="0.25">
      <c r="A14" s="279"/>
      <c r="B14" s="263"/>
      <c r="C14" s="263"/>
      <c r="D14" s="263"/>
      <c r="E14" s="263"/>
      <c r="F14" s="263"/>
      <c r="G14" s="263"/>
      <c r="H14" s="263"/>
      <c r="I14" s="263"/>
      <c r="J14" s="263"/>
      <c r="K14" s="263"/>
      <c r="L14" s="263"/>
      <c r="M14" s="263"/>
      <c r="N14" s="263"/>
      <c r="O14" s="264"/>
    </row>
    <row r="15" spans="1:15" x14ac:dyDescent="0.25">
      <c r="A15" s="306" t="s">
        <v>14</v>
      </c>
      <c r="B15" s="287" t="s">
        <v>31</v>
      </c>
      <c r="C15" s="287" t="s">
        <v>20</v>
      </c>
      <c r="D15" s="287" t="s">
        <v>21</v>
      </c>
      <c r="E15" s="287" t="s">
        <v>32</v>
      </c>
      <c r="F15" s="287" t="s">
        <v>17</v>
      </c>
      <c r="G15" s="287" t="s">
        <v>33</v>
      </c>
      <c r="H15" s="287" t="s">
        <v>34</v>
      </c>
      <c r="I15" s="287" t="s">
        <v>18</v>
      </c>
      <c r="J15" s="281"/>
      <c r="K15" s="281"/>
      <c r="L15" s="281"/>
      <c r="M15" s="281"/>
      <c r="N15" s="281"/>
      <c r="O15" s="264"/>
    </row>
    <row r="16" spans="1:15" ht="28.15" customHeight="1" x14ac:dyDescent="0.25">
      <c r="A16" s="319">
        <v>10</v>
      </c>
      <c r="B16" s="298" t="s">
        <v>39</v>
      </c>
      <c r="C16" s="320" t="s">
        <v>208</v>
      </c>
      <c r="D16" s="321">
        <v>1.3</v>
      </c>
      <c r="E16" s="298" t="s">
        <v>32</v>
      </c>
      <c r="F16" s="299">
        <v>1</v>
      </c>
      <c r="G16" s="320" t="s">
        <v>220</v>
      </c>
      <c r="H16" s="322">
        <v>0.5</v>
      </c>
      <c r="I16" s="294">
        <f>H16*D16</f>
        <v>0.65</v>
      </c>
      <c r="J16" s="299"/>
      <c r="K16" s="263"/>
      <c r="L16" s="263"/>
      <c r="M16" s="263"/>
      <c r="N16" s="263"/>
      <c r="O16" s="264"/>
    </row>
    <row r="17" spans="1:15" x14ac:dyDescent="0.25">
      <c r="A17" s="323">
        <v>20</v>
      </c>
      <c r="B17" s="295" t="s">
        <v>209</v>
      </c>
      <c r="C17" s="296"/>
      <c r="D17" s="321">
        <v>0.01</v>
      </c>
      <c r="E17" s="295" t="s">
        <v>40</v>
      </c>
      <c r="F17" s="325">
        <v>11.5</v>
      </c>
      <c r="G17" s="298"/>
      <c r="H17" s="322"/>
      <c r="I17" s="294">
        <f>IF(H17="",D17*F17,D17*F17*H17)</f>
        <v>0.115</v>
      </c>
      <c r="J17" s="299"/>
      <c r="K17" s="263"/>
      <c r="L17" s="263"/>
      <c r="M17" s="263"/>
      <c r="N17" s="263"/>
      <c r="O17" s="264"/>
    </row>
    <row r="18" spans="1:15" ht="60" x14ac:dyDescent="0.25">
      <c r="A18" s="319">
        <v>30</v>
      </c>
      <c r="B18" s="324" t="s">
        <v>39</v>
      </c>
      <c r="C18" s="297"/>
      <c r="D18" s="300">
        <v>0.65</v>
      </c>
      <c r="E18" s="297" t="s">
        <v>32</v>
      </c>
      <c r="F18" s="297">
        <v>1</v>
      </c>
      <c r="G18" s="320" t="s">
        <v>220</v>
      </c>
      <c r="H18" s="297">
        <v>0.5</v>
      </c>
      <c r="I18" s="301">
        <f t="shared" ref="I18:I19" si="0">IF(H18="",D18*F18,D18*F18*H18)</f>
        <v>0.32500000000000001</v>
      </c>
      <c r="J18" s="299"/>
      <c r="K18" s="263"/>
      <c r="L18" s="263"/>
      <c r="M18" s="263"/>
      <c r="N18" s="263"/>
      <c r="O18" s="264"/>
    </row>
    <row r="19" spans="1:15" x14ac:dyDescent="0.25">
      <c r="A19" s="323">
        <v>40</v>
      </c>
      <c r="B19" s="297" t="s">
        <v>92</v>
      </c>
      <c r="C19" s="297" t="s">
        <v>219</v>
      </c>
      <c r="D19" s="300">
        <v>2.9000000000000001E-2</v>
      </c>
      <c r="E19" s="297" t="s">
        <v>93</v>
      </c>
      <c r="F19" s="297">
        <v>1</v>
      </c>
      <c r="G19" s="297" t="s">
        <v>197</v>
      </c>
      <c r="H19" s="297">
        <v>3</v>
      </c>
      <c r="I19" s="301">
        <f t="shared" si="0"/>
        <v>8.7000000000000008E-2</v>
      </c>
      <c r="J19" s="302"/>
      <c r="K19" s="281"/>
      <c r="L19" s="281"/>
      <c r="M19" s="281"/>
      <c r="N19" s="281"/>
      <c r="O19" s="264"/>
    </row>
    <row r="20" spans="1:15" x14ac:dyDescent="0.25">
      <c r="A20" s="319">
        <v>50</v>
      </c>
      <c r="B20" s="298" t="s">
        <v>162</v>
      </c>
      <c r="C20" s="296" t="s">
        <v>210</v>
      </c>
      <c r="D20" s="303">
        <v>5.25</v>
      </c>
      <c r="E20" s="298" t="s">
        <v>202</v>
      </c>
      <c r="F20" s="451">
        <f>2*J11</f>
        <v>2.5400000000000002E-3</v>
      </c>
      <c r="G20" s="298"/>
      <c r="H20" s="322"/>
      <c r="I20" s="301">
        <f>F20*D20</f>
        <v>1.3335000000000001E-2</v>
      </c>
      <c r="J20" s="304"/>
      <c r="K20" s="56"/>
      <c r="L20" s="56"/>
      <c r="M20" s="56"/>
      <c r="N20" s="56"/>
      <c r="O20" s="264"/>
    </row>
    <row r="21" spans="1:15" x14ac:dyDescent="0.25">
      <c r="A21" s="280"/>
      <c r="B21" s="281"/>
      <c r="C21" s="281"/>
      <c r="D21" s="281"/>
      <c r="E21" s="281"/>
      <c r="F21" s="281"/>
      <c r="G21" s="281"/>
      <c r="H21" s="289" t="s">
        <v>18</v>
      </c>
      <c r="I21" s="290">
        <f>SUM(I16:I20)</f>
        <v>1.1903350000000001</v>
      </c>
      <c r="J21" s="56"/>
      <c r="K21" s="56"/>
      <c r="L21" s="56"/>
      <c r="M21" s="56"/>
      <c r="N21" s="56"/>
      <c r="O21" s="264"/>
    </row>
    <row r="22" spans="1:15" ht="15.75" thickBot="1" x14ac:dyDescent="0.3">
      <c r="A22" s="284"/>
      <c r="B22" s="285"/>
      <c r="C22" s="285"/>
      <c r="D22" s="285"/>
      <c r="E22" s="285"/>
      <c r="F22" s="285"/>
      <c r="G22" s="285"/>
      <c r="H22" s="285"/>
      <c r="I22" s="285"/>
      <c r="J22" s="285"/>
      <c r="K22" s="285"/>
      <c r="L22" s="285"/>
      <c r="M22" s="285"/>
      <c r="N22" s="285"/>
      <c r="O22" s="286"/>
    </row>
  </sheetData>
  <hyperlinks>
    <hyperlink ref="B4" location="'SU A0100'!A1" display="'SU A0100'!A1" xr:uid="{00000000-0004-0000-1400-000000000000}"/>
    <hyperlink ref="F2" location="SU_A0100_BOM" display="Back to BOM" xr:uid="{00000000-0004-0000-1400-000001000000}"/>
    <hyperlink ref="E3" location="dSU_01011" display="Drawing" xr:uid="{00000000-0004-0000-14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7" fitToHeight="99" orientation="landscape" r:id="rId1"/>
  <headerFooter>
    <oddFooter>Page &amp;P</oddFoot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2.7109375" customWidth="1"/>
  </cols>
  <sheetData>
    <row r="1" spans="1:2" x14ac:dyDescent="0.25">
      <c r="A1" t="s">
        <v>124</v>
      </c>
      <c r="B1" s="275" t="s">
        <v>214</v>
      </c>
    </row>
  </sheetData>
  <hyperlinks>
    <hyperlink ref="B1" location="SU_01011" display="SU_01011" xr:uid="{00000000-0004-0000-15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tabColor rgb="FFFFFF00"/>
    <pageSetUpPr fitToPage="1"/>
  </sheetPr>
  <dimension ref="A1:O64"/>
  <sheetViews>
    <sheetView zoomScale="80" zoomScaleNormal="80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57.140625" customWidth="1"/>
    <col min="3" max="3" width="49.28515625" customWidth="1"/>
    <col min="5" max="5" width="9.85546875" customWidth="1"/>
    <col min="14" max="14" width="11.5703125" customWidth="1"/>
    <col min="15" max="15" width="5.28515625" customWidth="1"/>
  </cols>
  <sheetData>
    <row r="1" spans="1:15" x14ac:dyDescent="0.25">
      <c r="A1" s="335"/>
      <c r="B1" s="336"/>
      <c r="C1" s="336"/>
      <c r="D1" s="336"/>
      <c r="E1" s="336"/>
      <c r="F1" s="336"/>
      <c r="G1" s="336"/>
      <c r="H1" s="336"/>
      <c r="I1" s="336"/>
      <c r="J1" s="336"/>
      <c r="K1" s="336"/>
      <c r="L1" s="336"/>
      <c r="M1" s="336"/>
      <c r="N1" s="336"/>
      <c r="O1" s="337"/>
    </row>
    <row r="2" spans="1:15" x14ac:dyDescent="0.25">
      <c r="A2" s="466" t="s">
        <v>0</v>
      </c>
      <c r="B2" s="339" t="s">
        <v>37</v>
      </c>
      <c r="C2" s="340"/>
      <c r="D2" s="340"/>
      <c r="E2" s="341" t="s">
        <v>62</v>
      </c>
      <c r="F2" s="340"/>
      <c r="G2" s="340"/>
      <c r="H2" s="340"/>
      <c r="I2" s="340"/>
      <c r="J2" s="466" t="s">
        <v>1</v>
      </c>
      <c r="K2" s="343">
        <v>81</v>
      </c>
      <c r="L2" s="340"/>
      <c r="M2" s="466" t="s">
        <v>2</v>
      </c>
      <c r="N2" s="467">
        <f>SU_A0200_pa+SU_A0200_m+SU_A0200_p+SU_A0200_f</f>
        <v>75.396083383825172</v>
      </c>
      <c r="O2" s="345"/>
    </row>
    <row r="3" spans="1:15" x14ac:dyDescent="0.25">
      <c r="A3" s="466" t="s">
        <v>3</v>
      </c>
      <c r="B3" s="339" t="s">
        <v>63</v>
      </c>
      <c r="C3" s="340"/>
      <c r="D3" s="340"/>
      <c r="E3" s="340"/>
      <c r="F3" s="340"/>
      <c r="G3" s="340"/>
      <c r="H3" s="340"/>
      <c r="I3" s="340"/>
      <c r="J3" s="340"/>
      <c r="K3" s="340"/>
      <c r="L3" s="340"/>
      <c r="M3" s="466" t="s">
        <v>4</v>
      </c>
      <c r="N3" s="347">
        <v>2</v>
      </c>
      <c r="O3" s="345"/>
    </row>
    <row r="4" spans="1:15" x14ac:dyDescent="0.25">
      <c r="A4" s="466" t="s">
        <v>5</v>
      </c>
      <c r="B4" s="340" t="s">
        <v>105</v>
      </c>
      <c r="C4" s="340"/>
      <c r="D4" s="340"/>
      <c r="E4" s="340"/>
      <c r="F4" s="340"/>
      <c r="G4" s="340"/>
      <c r="H4" s="340"/>
      <c r="I4" s="340"/>
      <c r="J4" s="468" t="s">
        <v>6</v>
      </c>
      <c r="K4" s="340"/>
      <c r="L4" s="340"/>
      <c r="M4" s="340"/>
      <c r="N4" s="340"/>
      <c r="O4" s="345"/>
    </row>
    <row r="5" spans="1:15" x14ac:dyDescent="0.25">
      <c r="A5" s="466" t="s">
        <v>7</v>
      </c>
      <c r="B5" s="383" t="s">
        <v>106</v>
      </c>
      <c r="C5" s="340"/>
      <c r="D5" s="340"/>
      <c r="E5" s="340"/>
      <c r="F5" s="340"/>
      <c r="G5" s="340"/>
      <c r="H5" s="340"/>
      <c r="I5" s="340"/>
      <c r="J5" s="468" t="s">
        <v>8</v>
      </c>
      <c r="K5" s="340"/>
      <c r="L5" s="340"/>
      <c r="M5" s="466" t="s">
        <v>9</v>
      </c>
      <c r="N5" s="344">
        <f>N2*N3</f>
        <v>150.79216676765034</v>
      </c>
      <c r="O5" s="345"/>
    </row>
    <row r="6" spans="1:15" x14ac:dyDescent="0.25">
      <c r="A6" s="466" t="s">
        <v>10</v>
      </c>
      <c r="B6" s="339"/>
      <c r="C6" s="340"/>
      <c r="D6" s="340"/>
      <c r="E6" s="340"/>
      <c r="F6" s="340"/>
      <c r="G6" s="340"/>
      <c r="H6" s="340"/>
      <c r="I6" s="340"/>
      <c r="J6" s="468" t="s">
        <v>12</v>
      </c>
      <c r="K6" s="340"/>
      <c r="L6" s="340"/>
      <c r="M6" s="340"/>
      <c r="N6" s="340"/>
      <c r="O6" s="345"/>
    </row>
    <row r="7" spans="1:15" x14ac:dyDescent="0.25">
      <c r="A7" s="466" t="s">
        <v>13</v>
      </c>
      <c r="B7" s="339"/>
      <c r="C7" s="340"/>
      <c r="D7" s="340"/>
      <c r="E7" s="340"/>
      <c r="F7" s="340"/>
      <c r="G7" s="340"/>
      <c r="H7" s="340"/>
      <c r="I7" s="340"/>
      <c r="J7" s="340"/>
      <c r="K7" s="340"/>
      <c r="L7" s="340"/>
      <c r="M7" s="340"/>
      <c r="N7" s="340"/>
      <c r="O7" s="345"/>
    </row>
    <row r="8" spans="1:15" x14ac:dyDescent="0.25">
      <c r="A8" s="373"/>
      <c r="B8" s="340"/>
      <c r="C8" s="340"/>
      <c r="D8" s="340"/>
      <c r="E8" s="340"/>
      <c r="F8" s="340"/>
      <c r="G8" s="340"/>
      <c r="H8" s="340"/>
      <c r="I8" s="340"/>
      <c r="J8" s="340"/>
      <c r="K8" s="340"/>
      <c r="L8" s="340"/>
      <c r="M8" s="340"/>
      <c r="N8" s="340"/>
      <c r="O8" s="345"/>
    </row>
    <row r="9" spans="1:15" x14ac:dyDescent="0.25">
      <c r="A9" s="466" t="s">
        <v>14</v>
      </c>
      <c r="B9" s="466" t="s">
        <v>15</v>
      </c>
      <c r="C9" s="466" t="s">
        <v>16</v>
      </c>
      <c r="D9" s="466" t="s">
        <v>17</v>
      </c>
      <c r="E9" s="466" t="s">
        <v>18</v>
      </c>
      <c r="F9" s="340"/>
      <c r="G9" s="340"/>
      <c r="H9" s="340"/>
      <c r="I9" s="340"/>
      <c r="J9" s="340"/>
      <c r="K9" s="340"/>
      <c r="L9" s="340"/>
      <c r="M9" s="340"/>
      <c r="N9" s="340"/>
      <c r="O9" s="345"/>
    </row>
    <row r="10" spans="1:15" x14ac:dyDescent="0.25">
      <c r="A10" s="388">
        <v>10</v>
      </c>
      <c r="B10" s="469" t="str">
        <f>'SU 02001'!B5</f>
        <v>Lower Front Bearing Support</v>
      </c>
      <c r="C10" s="344">
        <f>'SU 02001'!N2</f>
        <v>9.1140000000000008</v>
      </c>
      <c r="D10" s="470">
        <f>SU_02001_q</f>
        <v>1</v>
      </c>
      <c r="E10" s="344">
        <f t="shared" ref="E10:E20" si="0">C10*D10</f>
        <v>9.1140000000000008</v>
      </c>
      <c r="F10" s="340"/>
      <c r="G10" s="340"/>
      <c r="H10" s="340"/>
      <c r="I10" s="340"/>
      <c r="J10" s="340"/>
      <c r="K10" s="340"/>
      <c r="L10" s="340"/>
      <c r="M10" s="340"/>
      <c r="N10" s="340"/>
      <c r="O10" s="345"/>
    </row>
    <row r="11" spans="1:15" x14ac:dyDescent="0.25">
      <c r="A11" s="388">
        <v>20</v>
      </c>
      <c r="B11" s="469" t="str">
        <f>'SU 02002'!B5</f>
        <v>Inner Bearing Support</v>
      </c>
      <c r="C11" s="344">
        <f>'SU 02002'!N2</f>
        <v>1.8728805440000003</v>
      </c>
      <c r="D11" s="388">
        <f>SU_02002_q</f>
        <v>2</v>
      </c>
      <c r="E11" s="344">
        <f t="shared" si="0"/>
        <v>3.7457610880000005</v>
      </c>
      <c r="F11" s="340"/>
      <c r="G11" s="340"/>
      <c r="H11" s="340"/>
      <c r="I11" s="340"/>
      <c r="J11" s="340"/>
      <c r="K11" s="340"/>
      <c r="L11" s="340"/>
      <c r="M11" s="340"/>
      <c r="N11" s="340"/>
      <c r="O11" s="345"/>
    </row>
    <row r="12" spans="1:15" x14ac:dyDescent="0.25">
      <c r="A12" s="388">
        <v>30</v>
      </c>
      <c r="B12" s="469" t="str">
        <f>'SU 02003'!B5</f>
        <v>Lower Front A-arm tube (Front)  Carbon Fiber Tube</v>
      </c>
      <c r="C12" s="344">
        <f>'SU 02003'!N2</f>
        <v>11.220746039999998</v>
      </c>
      <c r="D12" s="470">
        <f>SU_02003_q</f>
        <v>1</v>
      </c>
      <c r="E12" s="344">
        <f t="shared" si="0"/>
        <v>11.220746039999998</v>
      </c>
      <c r="F12" s="340"/>
      <c r="G12" s="340"/>
      <c r="H12" s="340"/>
      <c r="I12" s="340"/>
      <c r="J12" s="340"/>
      <c r="K12" s="340"/>
      <c r="L12" s="340"/>
      <c r="M12" s="340"/>
      <c r="N12" s="340"/>
      <c r="O12" s="471"/>
    </row>
    <row r="13" spans="1:15" s="17" customFormat="1" x14ac:dyDescent="0.25">
      <c r="A13" s="388">
        <v>40</v>
      </c>
      <c r="B13" s="469" t="str">
        <f>'SU 02004'!B5</f>
        <v>Lower Front A-arm tube (Back)  Carbon Fiber Tube</v>
      </c>
      <c r="C13" s="344">
        <f>'SU 02004'!N2</f>
        <v>10.001779199999998</v>
      </c>
      <c r="D13" s="388">
        <f>SU_02004_q</f>
        <v>1</v>
      </c>
      <c r="E13" s="344">
        <f t="shared" si="0"/>
        <v>10.001779199999998</v>
      </c>
      <c r="F13" s="340"/>
      <c r="G13" s="340"/>
      <c r="H13" s="340"/>
      <c r="I13" s="340"/>
      <c r="J13" s="340"/>
      <c r="K13" s="340"/>
      <c r="L13" s="340"/>
      <c r="M13" s="340"/>
      <c r="N13" s="340"/>
      <c r="O13" s="471"/>
    </row>
    <row r="14" spans="1:15" s="17" customFormat="1" x14ac:dyDescent="0.25">
      <c r="A14" s="388">
        <v>50</v>
      </c>
      <c r="B14" s="469" t="str">
        <f>'SU 02005'!B5</f>
        <v>Spacer 1</v>
      </c>
      <c r="C14" s="344">
        <f>'SU 02005'!N2</f>
        <v>0.90817037600000006</v>
      </c>
      <c r="D14" s="470">
        <f>SU_02005_q</f>
        <v>2</v>
      </c>
      <c r="E14" s="344">
        <f t="shared" si="0"/>
        <v>1.8163407520000001</v>
      </c>
      <c r="F14" s="340"/>
      <c r="G14" s="340"/>
      <c r="H14" s="340"/>
      <c r="I14" s="340"/>
      <c r="J14" s="340"/>
      <c r="K14" s="340"/>
      <c r="L14" s="340"/>
      <c r="M14" s="340"/>
      <c r="N14" s="340"/>
      <c r="O14" s="345"/>
    </row>
    <row r="15" spans="1:15" s="17" customFormat="1" x14ac:dyDescent="0.25">
      <c r="A15" s="388">
        <v>60</v>
      </c>
      <c r="B15" s="469" t="str">
        <f>'SU 02006'!B5</f>
        <v>Spacer 2</v>
      </c>
      <c r="C15" s="344">
        <f>'SU 02006'!N2</f>
        <v>0.32421353411764708</v>
      </c>
      <c r="D15" s="388">
        <f>SU_02006_q</f>
        <v>4</v>
      </c>
      <c r="E15" s="344">
        <f t="shared" si="0"/>
        <v>1.2968541364705883</v>
      </c>
      <c r="F15" s="340"/>
      <c r="G15" s="340"/>
      <c r="H15" s="340"/>
      <c r="I15" s="340"/>
      <c r="J15" s="340"/>
      <c r="K15" s="340"/>
      <c r="L15" s="340"/>
      <c r="M15" s="340"/>
      <c r="N15" s="340"/>
      <c r="O15" s="345"/>
    </row>
    <row r="16" spans="1:15" s="17" customFormat="1" x14ac:dyDescent="0.25">
      <c r="A16" s="473">
        <v>70</v>
      </c>
      <c r="B16" s="497" t="str">
        <f>'SU 02007'!B5</f>
        <v>Outboard A-arm Insert</v>
      </c>
      <c r="C16" s="476">
        <f>'SU 02007'!N2</f>
        <v>0.47719727680000001</v>
      </c>
      <c r="D16" s="498">
        <f>SU_02007_q</f>
        <v>2</v>
      </c>
      <c r="E16" s="476">
        <f t="shared" si="0"/>
        <v>0.95439455360000003</v>
      </c>
      <c r="F16" s="340"/>
      <c r="G16" s="340"/>
      <c r="H16" s="340"/>
      <c r="I16" s="340"/>
      <c r="J16" s="340"/>
      <c r="K16" s="340"/>
      <c r="L16" s="340"/>
      <c r="M16" s="340"/>
      <c r="N16" s="340"/>
      <c r="O16" s="345"/>
    </row>
    <row r="17" spans="1:15" s="17" customFormat="1" x14ac:dyDescent="0.25">
      <c r="A17" s="482">
        <v>80</v>
      </c>
      <c r="B17" s="560" t="str">
        <f>'SU 02008'!B5</f>
        <v>Front up bracket</v>
      </c>
      <c r="C17" s="488">
        <f>'SU 02008'!N2</f>
        <v>1.3868720000000001</v>
      </c>
      <c r="D17" s="472">
        <f>SU_02008_q</f>
        <v>1</v>
      </c>
      <c r="E17" s="488">
        <f t="shared" si="0"/>
        <v>1.3868720000000001</v>
      </c>
      <c r="F17" s="340"/>
      <c r="G17" s="340"/>
      <c r="H17" s="340"/>
      <c r="I17" s="340"/>
      <c r="J17" s="340"/>
      <c r="K17" s="340"/>
      <c r="L17" s="340"/>
      <c r="M17" s="340"/>
      <c r="N17" s="340"/>
      <c r="O17" s="345"/>
    </row>
    <row r="18" spans="1:15" s="17" customFormat="1" x14ac:dyDescent="0.25">
      <c r="A18" s="482">
        <v>90</v>
      </c>
      <c r="B18" s="560" t="str">
        <f>'SU 02009'!B5</f>
        <v>Front down bracket</v>
      </c>
      <c r="C18" s="488">
        <f>'SU 02009'!N2</f>
        <v>1.4357435000000001</v>
      </c>
      <c r="D18" s="472">
        <f>SU_02009_q</f>
        <v>1</v>
      </c>
      <c r="E18" s="488">
        <f t="shared" si="0"/>
        <v>1.4357435000000001</v>
      </c>
      <c r="F18" s="340"/>
      <c r="G18" s="340"/>
      <c r="H18" s="340"/>
      <c r="I18" s="340"/>
      <c r="J18" s="340"/>
      <c r="K18" s="340"/>
      <c r="L18" s="340"/>
      <c r="M18" s="340"/>
      <c r="N18" s="340"/>
      <c r="O18" s="345"/>
    </row>
    <row r="19" spans="1:15" s="17" customFormat="1" x14ac:dyDescent="0.25">
      <c r="A19" s="482">
        <v>100</v>
      </c>
      <c r="B19" s="560" t="str">
        <f>'SU 02010'!B5</f>
        <v>Rear Up bracket</v>
      </c>
      <c r="C19" s="488">
        <f>'SU 02010'!N2</f>
        <v>1.3315549999999998</v>
      </c>
      <c r="D19" s="472">
        <f>SU_02010_q</f>
        <v>1</v>
      </c>
      <c r="E19" s="488">
        <f t="shared" si="0"/>
        <v>1.3315549999999998</v>
      </c>
      <c r="F19" s="340"/>
      <c r="G19" s="340"/>
      <c r="H19" s="340"/>
      <c r="I19" s="340"/>
      <c r="J19" s="340"/>
      <c r="K19" s="340"/>
      <c r="L19" s="340"/>
      <c r="M19" s="340"/>
      <c r="N19" s="340"/>
      <c r="O19" s="345"/>
    </row>
    <row r="20" spans="1:15" s="17" customFormat="1" x14ac:dyDescent="0.25">
      <c r="A20" s="482">
        <v>110</v>
      </c>
      <c r="B20" s="560" t="str">
        <f>'SU 02011'!B5</f>
        <v>Rear down bracket</v>
      </c>
      <c r="C20" s="488">
        <f>'SU 02011'!N2</f>
        <v>1.41506025</v>
      </c>
      <c r="D20" s="472">
        <f>SU_02011_q</f>
        <v>1</v>
      </c>
      <c r="E20" s="488">
        <f t="shared" si="0"/>
        <v>1.41506025</v>
      </c>
      <c r="F20" s="340"/>
      <c r="G20" s="340"/>
      <c r="H20" s="340"/>
      <c r="I20" s="340"/>
      <c r="J20" s="340"/>
      <c r="K20" s="340"/>
      <c r="L20" s="340"/>
      <c r="M20" s="340"/>
      <c r="N20" s="340"/>
      <c r="O20" s="345"/>
    </row>
    <row r="21" spans="1:15" x14ac:dyDescent="0.25">
      <c r="A21" s="373"/>
      <c r="B21" s="340"/>
      <c r="C21" s="340"/>
      <c r="D21" s="499" t="s">
        <v>18</v>
      </c>
      <c r="E21" s="481">
        <f>SUM(E10:E16)</f>
        <v>38.14987577007058</v>
      </c>
      <c r="F21" s="340"/>
      <c r="G21" s="340"/>
      <c r="H21" s="340"/>
      <c r="I21" s="340"/>
      <c r="J21" s="340"/>
      <c r="K21" s="340"/>
      <c r="L21" s="340"/>
      <c r="M21" s="340"/>
      <c r="N21" s="340"/>
      <c r="O21" s="345"/>
    </row>
    <row r="22" spans="1:15" x14ac:dyDescent="0.25">
      <c r="A22" s="373"/>
      <c r="B22" s="340"/>
      <c r="C22" s="340"/>
      <c r="D22" s="340"/>
      <c r="E22" s="340"/>
      <c r="F22" s="340"/>
      <c r="G22" s="340"/>
      <c r="H22" s="340"/>
      <c r="I22" s="340"/>
      <c r="J22" s="340"/>
      <c r="K22" s="340"/>
      <c r="L22" s="340"/>
      <c r="M22" s="340"/>
      <c r="N22" s="340"/>
      <c r="O22" s="345"/>
    </row>
    <row r="23" spans="1:15" x14ac:dyDescent="0.25">
      <c r="A23" s="479" t="s">
        <v>14</v>
      </c>
      <c r="B23" s="479" t="s">
        <v>19</v>
      </c>
      <c r="C23" s="479" t="s">
        <v>20</v>
      </c>
      <c r="D23" s="479" t="s">
        <v>21</v>
      </c>
      <c r="E23" s="479" t="s">
        <v>22</v>
      </c>
      <c r="F23" s="479" t="s">
        <v>23</v>
      </c>
      <c r="G23" s="479" t="s">
        <v>24</v>
      </c>
      <c r="H23" s="479" t="s">
        <v>25</v>
      </c>
      <c r="I23" s="479" t="s">
        <v>26</v>
      </c>
      <c r="J23" s="479" t="s">
        <v>27</v>
      </c>
      <c r="K23" s="479" t="s">
        <v>28</v>
      </c>
      <c r="L23" s="479" t="s">
        <v>29</v>
      </c>
      <c r="M23" s="479" t="s">
        <v>17</v>
      </c>
      <c r="N23" s="479" t="s">
        <v>18</v>
      </c>
      <c r="O23" s="345"/>
    </row>
    <row r="24" spans="1:15" ht="14.45" customHeight="1" x14ac:dyDescent="0.25">
      <c r="A24" s="482">
        <v>10</v>
      </c>
      <c r="B24" s="482" t="s">
        <v>65</v>
      </c>
      <c r="C24" s="482"/>
      <c r="D24" s="483">
        <f>0.03*E24^2+5</f>
        <v>6.92</v>
      </c>
      <c r="E24" s="482">
        <v>8</v>
      </c>
      <c r="F24" s="482" t="s">
        <v>30</v>
      </c>
      <c r="G24" s="482"/>
      <c r="H24" s="484"/>
      <c r="I24" s="485"/>
      <c r="J24" s="486"/>
      <c r="K24" s="484"/>
      <c r="L24" s="484"/>
      <c r="M24" s="487">
        <v>3</v>
      </c>
      <c r="N24" s="488">
        <f>M24*D24</f>
        <v>20.759999999999998</v>
      </c>
      <c r="O24" s="345"/>
    </row>
    <row r="25" spans="1:15" s="22" customFormat="1" ht="14.45" customHeight="1" x14ac:dyDescent="0.25">
      <c r="A25" s="482">
        <v>20</v>
      </c>
      <c r="B25" s="489" t="s">
        <v>70</v>
      </c>
      <c r="C25" s="490" t="s">
        <v>71</v>
      </c>
      <c r="D25" s="488"/>
      <c r="E25" s="491"/>
      <c r="F25" s="491">
        <v>95</v>
      </c>
      <c r="G25" s="491"/>
      <c r="H25" s="484"/>
      <c r="I25" s="492"/>
      <c r="J25" s="493"/>
      <c r="K25" s="494"/>
      <c r="L25" s="495"/>
      <c r="M25" s="496"/>
      <c r="N25" s="488">
        <f>M25*D25</f>
        <v>0</v>
      </c>
      <c r="O25" s="368"/>
    </row>
    <row r="26" spans="1:15" ht="31.9" customHeight="1" x14ac:dyDescent="0.25">
      <c r="A26" s="482">
        <v>30</v>
      </c>
      <c r="B26" s="489" t="s">
        <v>70</v>
      </c>
      <c r="C26" s="490" t="s">
        <v>72</v>
      </c>
      <c r="D26" s="488"/>
      <c r="E26" s="482"/>
      <c r="F26" s="482"/>
      <c r="G26" s="482"/>
      <c r="H26" s="484"/>
      <c r="I26" s="496"/>
      <c r="J26" s="487"/>
      <c r="K26" s="484"/>
      <c r="L26" s="495"/>
      <c r="M26" s="484"/>
      <c r="N26" s="488">
        <f>M26*D26</f>
        <v>0</v>
      </c>
      <c r="O26" s="345"/>
    </row>
    <row r="27" spans="1:15" x14ac:dyDescent="0.25">
      <c r="A27" s="369"/>
      <c r="B27" s="370"/>
      <c r="C27" s="370"/>
      <c r="D27" s="370"/>
      <c r="E27" s="370"/>
      <c r="F27" s="370"/>
      <c r="G27" s="370"/>
      <c r="H27" s="370"/>
      <c r="I27" s="370"/>
      <c r="J27" s="370"/>
      <c r="K27" s="370"/>
      <c r="L27" s="370"/>
      <c r="M27" s="480" t="s">
        <v>18</v>
      </c>
      <c r="N27" s="481">
        <f>SUM(N24:N26)</f>
        <v>20.759999999999998</v>
      </c>
      <c r="O27" s="345"/>
    </row>
    <row r="28" spans="1:15" x14ac:dyDescent="0.25">
      <c r="A28" s="373"/>
      <c r="B28" s="340"/>
      <c r="C28" s="340"/>
      <c r="D28" s="340"/>
      <c r="E28" s="340"/>
      <c r="F28" s="340"/>
      <c r="G28" s="340"/>
      <c r="H28" s="340"/>
      <c r="I28" s="340"/>
      <c r="J28" s="340"/>
      <c r="K28" s="340"/>
      <c r="L28" s="340"/>
      <c r="M28" s="340"/>
      <c r="N28" s="340"/>
      <c r="O28" s="345"/>
    </row>
    <row r="29" spans="1:15" s="25" customFormat="1" x14ac:dyDescent="0.25">
      <c r="A29" s="466" t="s">
        <v>14</v>
      </c>
      <c r="B29" s="466" t="s">
        <v>31</v>
      </c>
      <c r="C29" s="466" t="s">
        <v>20</v>
      </c>
      <c r="D29" s="466" t="s">
        <v>21</v>
      </c>
      <c r="E29" s="466" t="s">
        <v>32</v>
      </c>
      <c r="F29" s="466" t="s">
        <v>17</v>
      </c>
      <c r="G29" s="466" t="s">
        <v>33</v>
      </c>
      <c r="H29" s="466" t="s">
        <v>34</v>
      </c>
      <c r="I29" s="466" t="s">
        <v>18</v>
      </c>
      <c r="J29" s="370"/>
      <c r="K29" s="370"/>
      <c r="L29" s="370"/>
      <c r="M29" s="370"/>
      <c r="N29" s="370"/>
      <c r="O29" s="377"/>
    </row>
    <row r="30" spans="1:15" s="180" customFormat="1" x14ac:dyDescent="0.25">
      <c r="A30" s="220">
        <v>10</v>
      </c>
      <c r="B30" s="276" t="s">
        <v>76</v>
      </c>
      <c r="C30" s="221" t="s">
        <v>169</v>
      </c>
      <c r="D30" s="273">
        <v>0.02</v>
      </c>
      <c r="E30" s="220" t="s">
        <v>74</v>
      </c>
      <c r="F30" s="231">
        <v>8.66</v>
      </c>
      <c r="G30" s="231" t="s">
        <v>153</v>
      </c>
      <c r="H30" s="231">
        <v>2</v>
      </c>
      <c r="I30" s="273">
        <f t="shared" ref="I30:I51" si="1">IF(H30="",D30*F30,D30*F30*H30)</f>
        <v>0.34639999999999999</v>
      </c>
      <c r="J30" s="222"/>
      <c r="K30" s="222"/>
      <c r="L30" s="222"/>
      <c r="M30" s="222"/>
      <c r="N30" s="222"/>
      <c r="O30" s="223"/>
    </row>
    <row r="31" spans="1:15" s="180" customFormat="1" x14ac:dyDescent="0.25">
      <c r="A31" s="220">
        <v>20</v>
      </c>
      <c r="B31" s="276" t="s">
        <v>73</v>
      </c>
      <c r="C31" s="221" t="s">
        <v>170</v>
      </c>
      <c r="D31" s="273">
        <v>0.02</v>
      </c>
      <c r="E31" s="220" t="s">
        <v>74</v>
      </c>
      <c r="F31" s="231">
        <v>8.66</v>
      </c>
      <c r="G31" s="231" t="s">
        <v>153</v>
      </c>
      <c r="H31" s="231">
        <v>2</v>
      </c>
      <c r="I31" s="273">
        <f t="shared" si="1"/>
        <v>0.34639999999999999</v>
      </c>
      <c r="J31" s="224"/>
      <c r="K31" s="224"/>
      <c r="L31" s="224"/>
      <c r="M31" s="224"/>
      <c r="N31" s="224"/>
      <c r="O31" s="225"/>
    </row>
    <row r="32" spans="1:15" s="180" customFormat="1" x14ac:dyDescent="0.25">
      <c r="A32" s="220">
        <v>30</v>
      </c>
      <c r="B32" s="276" t="s">
        <v>76</v>
      </c>
      <c r="C32" s="221" t="s">
        <v>172</v>
      </c>
      <c r="D32" s="273">
        <v>0.02</v>
      </c>
      <c r="E32" s="220" t="s">
        <v>74</v>
      </c>
      <c r="F32" s="231">
        <v>8.66</v>
      </c>
      <c r="G32" s="231" t="s">
        <v>153</v>
      </c>
      <c r="H32" s="231">
        <v>2</v>
      </c>
      <c r="I32" s="273">
        <f t="shared" si="1"/>
        <v>0.34639999999999999</v>
      </c>
      <c r="J32" s="222"/>
      <c r="K32" s="222"/>
      <c r="L32" s="222"/>
      <c r="M32" s="222"/>
      <c r="N32" s="222"/>
      <c r="O32" s="223"/>
    </row>
    <row r="33" spans="1:15" s="180" customFormat="1" x14ac:dyDescent="0.25">
      <c r="A33" s="220">
        <v>40</v>
      </c>
      <c r="B33" s="276" t="s">
        <v>154</v>
      </c>
      <c r="C33" s="226" t="s">
        <v>174</v>
      </c>
      <c r="D33" s="273">
        <v>0.06</v>
      </c>
      <c r="E33" s="276" t="s">
        <v>32</v>
      </c>
      <c r="F33" s="231">
        <v>1</v>
      </c>
      <c r="G33" s="231" t="s">
        <v>153</v>
      </c>
      <c r="H33" s="231">
        <v>2</v>
      </c>
      <c r="I33" s="273">
        <f t="shared" si="1"/>
        <v>0.12</v>
      </c>
      <c r="J33" s="224"/>
      <c r="K33" s="224"/>
      <c r="L33" s="224"/>
      <c r="M33" s="224"/>
      <c r="N33" s="224"/>
      <c r="O33" s="225"/>
    </row>
    <row r="34" spans="1:15" s="180" customFormat="1" x14ac:dyDescent="0.25">
      <c r="A34" s="220">
        <v>50</v>
      </c>
      <c r="B34" s="276" t="s">
        <v>76</v>
      </c>
      <c r="C34" s="221" t="s">
        <v>175</v>
      </c>
      <c r="D34" s="273">
        <v>0.02</v>
      </c>
      <c r="E34" s="220" t="s">
        <v>74</v>
      </c>
      <c r="F34" s="231">
        <v>12.43</v>
      </c>
      <c r="G34" s="231" t="s">
        <v>153</v>
      </c>
      <c r="H34" s="231">
        <v>2</v>
      </c>
      <c r="I34" s="273">
        <f t="shared" si="1"/>
        <v>0.49719999999999998</v>
      </c>
      <c r="J34" s="222"/>
      <c r="K34" s="222"/>
      <c r="L34" s="222"/>
      <c r="M34" s="222"/>
      <c r="N34" s="222"/>
      <c r="O34" s="223"/>
    </row>
    <row r="35" spans="1:15" s="180" customFormat="1" x14ac:dyDescent="0.25">
      <c r="A35" s="220">
        <v>60</v>
      </c>
      <c r="B35" s="276" t="s">
        <v>73</v>
      </c>
      <c r="C35" s="221" t="s">
        <v>176</v>
      </c>
      <c r="D35" s="273">
        <v>0.02</v>
      </c>
      <c r="E35" s="220" t="s">
        <v>74</v>
      </c>
      <c r="F35" s="231">
        <v>12.43</v>
      </c>
      <c r="G35" s="231" t="s">
        <v>153</v>
      </c>
      <c r="H35" s="231">
        <v>2</v>
      </c>
      <c r="I35" s="273">
        <f t="shared" si="1"/>
        <v>0.49719999999999998</v>
      </c>
      <c r="J35" s="224"/>
      <c r="K35" s="224"/>
      <c r="L35" s="224"/>
      <c r="M35" s="224"/>
      <c r="N35" s="224"/>
      <c r="O35" s="225"/>
    </row>
    <row r="36" spans="1:15" s="180" customFormat="1" x14ac:dyDescent="0.25">
      <c r="A36" s="220">
        <v>70</v>
      </c>
      <c r="B36" s="276" t="s">
        <v>76</v>
      </c>
      <c r="C36" s="221" t="s">
        <v>155</v>
      </c>
      <c r="D36" s="273">
        <v>0.02</v>
      </c>
      <c r="E36" s="220" t="s">
        <v>74</v>
      </c>
      <c r="F36" s="231">
        <v>12.43</v>
      </c>
      <c r="G36" s="231" t="s">
        <v>153</v>
      </c>
      <c r="H36" s="231">
        <v>2</v>
      </c>
      <c r="I36" s="273">
        <f t="shared" si="1"/>
        <v>0.49719999999999998</v>
      </c>
      <c r="J36" s="222"/>
      <c r="K36" s="222"/>
      <c r="L36" s="222"/>
      <c r="M36" s="222"/>
      <c r="N36" s="222"/>
      <c r="O36" s="223"/>
    </row>
    <row r="37" spans="1:15" s="180" customFormat="1" x14ac:dyDescent="0.25">
      <c r="A37" s="220">
        <v>80</v>
      </c>
      <c r="B37" s="276" t="s">
        <v>154</v>
      </c>
      <c r="C37" s="226" t="s">
        <v>177</v>
      </c>
      <c r="D37" s="273">
        <v>0.14000000000000001</v>
      </c>
      <c r="E37" s="276" t="s">
        <v>32</v>
      </c>
      <c r="F37" s="231">
        <v>1</v>
      </c>
      <c r="G37" s="231" t="s">
        <v>153</v>
      </c>
      <c r="H37" s="231">
        <v>2</v>
      </c>
      <c r="I37" s="273">
        <f t="shared" si="1"/>
        <v>0.28000000000000003</v>
      </c>
      <c r="J37" s="227"/>
      <c r="K37" s="227"/>
      <c r="L37" s="227"/>
      <c r="M37" s="227"/>
      <c r="N37" s="227"/>
      <c r="O37" s="228"/>
    </row>
    <row r="38" spans="1:15" s="180" customFormat="1" x14ac:dyDescent="0.25">
      <c r="A38" s="220">
        <v>90</v>
      </c>
      <c r="B38" s="276" t="s">
        <v>76</v>
      </c>
      <c r="C38" s="221" t="s">
        <v>171</v>
      </c>
      <c r="D38" s="273">
        <v>0.02</v>
      </c>
      <c r="E38" s="220" t="s">
        <v>74</v>
      </c>
      <c r="F38" s="231">
        <v>12.43</v>
      </c>
      <c r="G38" s="231" t="s">
        <v>153</v>
      </c>
      <c r="H38" s="231">
        <v>2</v>
      </c>
      <c r="I38" s="273">
        <f t="shared" si="1"/>
        <v>0.49719999999999998</v>
      </c>
      <c r="J38" s="222"/>
      <c r="K38" s="222"/>
      <c r="L38" s="222"/>
      <c r="M38" s="222"/>
      <c r="N38" s="222"/>
      <c r="O38" s="223"/>
    </row>
    <row r="39" spans="1:15" s="180" customFormat="1" x14ac:dyDescent="0.25">
      <c r="A39" s="220">
        <v>100</v>
      </c>
      <c r="B39" s="276" t="s">
        <v>73</v>
      </c>
      <c r="C39" s="221" t="s">
        <v>173</v>
      </c>
      <c r="D39" s="273">
        <v>0.18</v>
      </c>
      <c r="E39" s="220" t="s">
        <v>74</v>
      </c>
      <c r="F39" s="231">
        <v>12.43</v>
      </c>
      <c r="G39" s="231" t="s">
        <v>153</v>
      </c>
      <c r="H39" s="231">
        <v>2</v>
      </c>
      <c r="I39" s="273">
        <f t="shared" si="1"/>
        <v>4.4748000000000001</v>
      </c>
      <c r="J39" s="227"/>
      <c r="K39" s="227"/>
      <c r="L39" s="227"/>
      <c r="M39" s="227"/>
      <c r="N39" s="227"/>
      <c r="O39" s="223"/>
    </row>
    <row r="40" spans="1:15" s="180" customFormat="1" x14ac:dyDescent="0.25">
      <c r="A40" s="220">
        <v>110</v>
      </c>
      <c r="B40" s="276" t="s">
        <v>76</v>
      </c>
      <c r="C40" s="221" t="s">
        <v>155</v>
      </c>
      <c r="D40" s="273">
        <v>0.02</v>
      </c>
      <c r="E40" s="220" t="s">
        <v>74</v>
      </c>
      <c r="F40" s="231">
        <v>12.43</v>
      </c>
      <c r="G40" s="231" t="s">
        <v>153</v>
      </c>
      <c r="H40" s="231">
        <v>2</v>
      </c>
      <c r="I40" s="273">
        <f t="shared" si="1"/>
        <v>0.49719999999999998</v>
      </c>
      <c r="J40" s="222"/>
      <c r="K40" s="222"/>
      <c r="L40" s="222"/>
      <c r="M40" s="222"/>
      <c r="N40" s="222"/>
      <c r="O40" s="223"/>
    </row>
    <row r="41" spans="1:15" s="180" customFormat="1" ht="30" x14ac:dyDescent="0.25">
      <c r="A41" s="220">
        <v>120</v>
      </c>
      <c r="B41" s="276" t="s">
        <v>154</v>
      </c>
      <c r="C41" s="226" t="s">
        <v>178</v>
      </c>
      <c r="D41" s="273">
        <v>0.22</v>
      </c>
      <c r="E41" s="276" t="s">
        <v>32</v>
      </c>
      <c r="F41" s="231">
        <v>1</v>
      </c>
      <c r="G41" s="231" t="s">
        <v>153</v>
      </c>
      <c r="H41" s="231">
        <v>2</v>
      </c>
      <c r="I41" s="273">
        <f t="shared" si="1"/>
        <v>0.44</v>
      </c>
      <c r="J41" s="227"/>
      <c r="K41" s="227"/>
      <c r="L41" s="227"/>
      <c r="M41" s="227"/>
      <c r="N41" s="227"/>
      <c r="O41" s="223"/>
    </row>
    <row r="42" spans="1:15" s="180" customFormat="1" x14ac:dyDescent="0.25">
      <c r="A42" s="220">
        <v>130</v>
      </c>
      <c r="B42" s="276" t="s">
        <v>76</v>
      </c>
      <c r="C42" s="221" t="s">
        <v>156</v>
      </c>
      <c r="D42" s="273">
        <v>0.02</v>
      </c>
      <c r="E42" s="220" t="s">
        <v>74</v>
      </c>
      <c r="F42" s="231">
        <v>4.01</v>
      </c>
      <c r="G42" s="231" t="s">
        <v>157</v>
      </c>
      <c r="H42" s="231">
        <v>3</v>
      </c>
      <c r="I42" s="273">
        <f t="shared" si="1"/>
        <v>0.24059999999999998</v>
      </c>
      <c r="J42" s="222"/>
      <c r="K42" s="222"/>
      <c r="L42" s="222"/>
      <c r="M42" s="222"/>
      <c r="N42" s="222"/>
      <c r="O42" s="223"/>
    </row>
    <row r="43" spans="1:15" s="180" customFormat="1" x14ac:dyDescent="0.25">
      <c r="A43" s="220">
        <v>140</v>
      </c>
      <c r="B43" s="229" t="s">
        <v>73</v>
      </c>
      <c r="C43" s="221" t="s">
        <v>158</v>
      </c>
      <c r="D43" s="273">
        <v>0.02</v>
      </c>
      <c r="E43" s="220" t="s">
        <v>74</v>
      </c>
      <c r="F43" s="231">
        <v>4.01</v>
      </c>
      <c r="G43" s="231" t="s">
        <v>157</v>
      </c>
      <c r="H43" s="231">
        <v>3</v>
      </c>
      <c r="I43" s="273">
        <f t="shared" si="1"/>
        <v>0.24059999999999998</v>
      </c>
      <c r="J43" s="227"/>
      <c r="K43" s="227"/>
      <c r="L43" s="227"/>
      <c r="M43" s="227"/>
      <c r="N43" s="227"/>
      <c r="O43" s="223"/>
    </row>
    <row r="44" spans="1:15" s="180" customFormat="1" x14ac:dyDescent="0.25">
      <c r="A44" s="220">
        <v>150</v>
      </c>
      <c r="B44" s="276" t="s">
        <v>154</v>
      </c>
      <c r="C44" s="221" t="s">
        <v>159</v>
      </c>
      <c r="D44" s="273">
        <v>0.3</v>
      </c>
      <c r="E44" s="276" t="s">
        <v>32</v>
      </c>
      <c r="F44" s="231">
        <v>1</v>
      </c>
      <c r="G44" s="231" t="s">
        <v>157</v>
      </c>
      <c r="H44" s="231">
        <v>3</v>
      </c>
      <c r="I44" s="273">
        <f t="shared" si="1"/>
        <v>0.89999999999999991</v>
      </c>
      <c r="J44" s="227"/>
      <c r="K44" s="227"/>
      <c r="L44" s="227"/>
      <c r="M44" s="227"/>
      <c r="N44" s="227"/>
      <c r="O44" s="223"/>
    </row>
    <row r="45" spans="1:15" s="180" customFormat="1" x14ac:dyDescent="0.25">
      <c r="A45" s="220">
        <v>160</v>
      </c>
      <c r="B45" s="220" t="s">
        <v>160</v>
      </c>
      <c r="C45" s="221" t="s">
        <v>161</v>
      </c>
      <c r="D45" s="273">
        <v>0.15</v>
      </c>
      <c r="E45" s="220" t="s">
        <v>74</v>
      </c>
      <c r="F45" s="231">
        <v>22</v>
      </c>
      <c r="G45" s="231"/>
      <c r="H45" s="215"/>
      <c r="I45" s="273">
        <f t="shared" si="1"/>
        <v>3.3</v>
      </c>
      <c r="J45" s="227"/>
      <c r="K45" s="227"/>
      <c r="L45" s="227"/>
      <c r="M45" s="227"/>
      <c r="N45" s="227"/>
      <c r="O45" s="223"/>
    </row>
    <row r="46" spans="1:15" s="180" customFormat="1" x14ac:dyDescent="0.25">
      <c r="A46" s="220">
        <v>170</v>
      </c>
      <c r="B46" s="276" t="s">
        <v>162</v>
      </c>
      <c r="C46" s="226" t="s">
        <v>163</v>
      </c>
      <c r="D46" s="273">
        <v>5.25</v>
      </c>
      <c r="E46" s="276" t="s">
        <v>77</v>
      </c>
      <c r="F46" s="231">
        <v>0.01</v>
      </c>
      <c r="G46" s="231"/>
      <c r="H46" s="215"/>
      <c r="I46" s="273">
        <f t="shared" si="1"/>
        <v>5.2499999999999998E-2</v>
      </c>
      <c r="J46" s="227"/>
      <c r="K46" s="227"/>
      <c r="L46" s="227"/>
      <c r="M46" s="230"/>
      <c r="N46" s="227"/>
      <c r="O46" s="223"/>
    </row>
    <row r="47" spans="1:15" s="180" customFormat="1" x14ac:dyDescent="0.25">
      <c r="A47" s="220">
        <v>180</v>
      </c>
      <c r="B47" s="220" t="s">
        <v>154</v>
      </c>
      <c r="C47" s="221" t="s">
        <v>164</v>
      </c>
      <c r="D47" s="273">
        <v>0.14000000000000001</v>
      </c>
      <c r="E47" s="220" t="s">
        <v>32</v>
      </c>
      <c r="F47" s="231">
        <v>1</v>
      </c>
      <c r="G47" s="231"/>
      <c r="H47" s="215"/>
      <c r="I47" s="273">
        <f t="shared" si="1"/>
        <v>0.14000000000000001</v>
      </c>
      <c r="J47" s="227"/>
      <c r="K47" s="227"/>
      <c r="L47" s="227"/>
      <c r="M47" s="227"/>
      <c r="N47" s="227"/>
      <c r="O47" s="223"/>
    </row>
    <row r="48" spans="1:15" s="180" customFormat="1" x14ac:dyDescent="0.25">
      <c r="A48" s="220">
        <v>190</v>
      </c>
      <c r="B48" s="276" t="s">
        <v>75</v>
      </c>
      <c r="C48" s="226" t="s">
        <v>165</v>
      </c>
      <c r="D48" s="273">
        <v>0.13</v>
      </c>
      <c r="E48" s="276" t="s">
        <v>32</v>
      </c>
      <c r="F48" s="231">
        <v>4</v>
      </c>
      <c r="G48" s="231"/>
      <c r="H48" s="215"/>
      <c r="I48" s="273">
        <f t="shared" si="1"/>
        <v>0.52</v>
      </c>
      <c r="J48" s="227"/>
      <c r="K48" s="227"/>
      <c r="L48" s="227"/>
      <c r="M48" s="227"/>
      <c r="N48" s="227"/>
      <c r="O48" s="223"/>
    </row>
    <row r="49" spans="1:15" s="180" customFormat="1" x14ac:dyDescent="0.25">
      <c r="A49" s="220">
        <v>200</v>
      </c>
      <c r="B49" s="276" t="s">
        <v>75</v>
      </c>
      <c r="C49" s="226" t="s">
        <v>166</v>
      </c>
      <c r="D49" s="273">
        <v>0.13</v>
      </c>
      <c r="E49" s="276" t="s">
        <v>32</v>
      </c>
      <c r="F49" s="231">
        <v>8</v>
      </c>
      <c r="G49" s="231"/>
      <c r="H49" s="215"/>
      <c r="I49" s="273">
        <f t="shared" si="1"/>
        <v>1.04</v>
      </c>
      <c r="J49" s="227"/>
      <c r="K49" s="227"/>
      <c r="L49" s="227"/>
      <c r="M49" s="227"/>
      <c r="N49" s="227"/>
      <c r="O49" s="223"/>
    </row>
    <row r="50" spans="1:15" s="180" customFormat="1" x14ac:dyDescent="0.25">
      <c r="A50" s="220">
        <v>210</v>
      </c>
      <c r="B50" s="220" t="s">
        <v>78</v>
      </c>
      <c r="C50" s="221" t="s">
        <v>167</v>
      </c>
      <c r="D50" s="273">
        <v>0.13</v>
      </c>
      <c r="E50" s="220" t="s">
        <v>32</v>
      </c>
      <c r="F50" s="231">
        <v>2</v>
      </c>
      <c r="G50" s="231"/>
      <c r="H50" s="215"/>
      <c r="I50" s="273">
        <f t="shared" si="1"/>
        <v>0.26</v>
      </c>
      <c r="J50" s="227"/>
      <c r="K50" s="227"/>
      <c r="L50" s="227"/>
      <c r="M50" s="227"/>
      <c r="N50" s="227"/>
      <c r="O50" s="223"/>
    </row>
    <row r="51" spans="1:15" s="180" customFormat="1" x14ac:dyDescent="0.25">
      <c r="A51" s="220">
        <v>220</v>
      </c>
      <c r="B51" s="276" t="s">
        <v>79</v>
      </c>
      <c r="C51" s="226" t="s">
        <v>168</v>
      </c>
      <c r="D51" s="273">
        <v>0.25</v>
      </c>
      <c r="E51" s="276" t="s">
        <v>32</v>
      </c>
      <c r="F51" s="231">
        <v>2</v>
      </c>
      <c r="G51" s="231"/>
      <c r="H51" s="215"/>
      <c r="I51" s="273">
        <f t="shared" si="1"/>
        <v>0.5</v>
      </c>
      <c r="J51" s="227"/>
      <c r="K51" s="227"/>
      <c r="L51" s="227"/>
      <c r="M51" s="227"/>
      <c r="N51" s="227"/>
      <c r="O51" s="228"/>
    </row>
    <row r="52" spans="1:15" x14ac:dyDescent="0.25">
      <c r="A52" s="369"/>
      <c r="B52" s="370"/>
      <c r="C52" s="370"/>
      <c r="D52" s="370"/>
      <c r="E52" s="370"/>
      <c r="F52" s="370"/>
      <c r="G52" s="370"/>
      <c r="H52" s="474" t="s">
        <v>18</v>
      </c>
      <c r="I52" s="475">
        <f>SUM(I30:I51)</f>
        <v>16.033700000000003</v>
      </c>
      <c r="J52" s="340"/>
      <c r="K52" s="340"/>
      <c r="L52" s="340"/>
      <c r="M52" s="340"/>
      <c r="N52" s="340"/>
      <c r="O52" s="345"/>
    </row>
    <row r="53" spans="1:15" x14ac:dyDescent="0.25">
      <c r="A53" s="373"/>
      <c r="B53" s="340"/>
      <c r="C53" s="340"/>
      <c r="D53" s="340"/>
      <c r="E53" s="340"/>
      <c r="F53" s="340"/>
      <c r="G53" s="340"/>
      <c r="H53" s="340"/>
      <c r="I53" s="340"/>
      <c r="J53" s="340"/>
      <c r="K53" s="340"/>
      <c r="L53" s="340"/>
      <c r="M53" s="340"/>
      <c r="N53" s="340"/>
      <c r="O53" s="345"/>
    </row>
    <row r="54" spans="1:15" x14ac:dyDescent="0.25">
      <c r="A54" s="466" t="s">
        <v>14</v>
      </c>
      <c r="B54" s="466" t="s">
        <v>36</v>
      </c>
      <c r="C54" s="466" t="s">
        <v>20</v>
      </c>
      <c r="D54" s="466" t="s">
        <v>21</v>
      </c>
      <c r="E54" s="466" t="s">
        <v>22</v>
      </c>
      <c r="F54" s="466" t="s">
        <v>23</v>
      </c>
      <c r="G54" s="466" t="s">
        <v>24</v>
      </c>
      <c r="H54" s="466" t="s">
        <v>25</v>
      </c>
      <c r="I54" s="466" t="s">
        <v>17</v>
      </c>
      <c r="J54" s="466" t="s">
        <v>18</v>
      </c>
      <c r="K54" s="340"/>
      <c r="L54" s="340"/>
      <c r="M54" s="340"/>
      <c r="N54" s="340"/>
      <c r="O54" s="345"/>
    </row>
    <row r="55" spans="1:15" x14ac:dyDescent="0.25">
      <c r="A55" s="388">
        <v>10</v>
      </c>
      <c r="B55" s="477" t="s">
        <v>222</v>
      </c>
      <c r="C55" s="388" t="s">
        <v>81</v>
      </c>
      <c r="D55" s="344">
        <f>0.8/105154*E55^2*G55*SQRT(G55)+(0.003*EXP(0.319*E55))</f>
        <v>0.16167651505774214</v>
      </c>
      <c r="E55" s="478">
        <v>8</v>
      </c>
      <c r="F55" s="477" t="s">
        <v>30</v>
      </c>
      <c r="G55" s="478">
        <v>40</v>
      </c>
      <c r="H55" s="477" t="s">
        <v>30</v>
      </c>
      <c r="I55" s="478">
        <v>2</v>
      </c>
      <c r="J55" s="344">
        <f>D55*I55</f>
        <v>0.32335303011548427</v>
      </c>
      <c r="K55" s="340"/>
      <c r="L55" s="340"/>
      <c r="M55" s="340"/>
      <c r="N55" s="340"/>
      <c r="O55" s="345"/>
    </row>
    <row r="56" spans="1:15" x14ac:dyDescent="0.25">
      <c r="A56" s="388">
        <v>20</v>
      </c>
      <c r="B56" s="477" t="s">
        <v>223</v>
      </c>
      <c r="C56" s="388" t="s">
        <v>83</v>
      </c>
      <c r="D56" s="344">
        <f>(0.009*EXP(0.2*E56))</f>
        <v>4.4577291819556032E-2</v>
      </c>
      <c r="E56" s="478">
        <v>8</v>
      </c>
      <c r="F56" s="477" t="s">
        <v>30</v>
      </c>
      <c r="G56" s="478"/>
      <c r="H56" s="477"/>
      <c r="I56" s="478">
        <v>2</v>
      </c>
      <c r="J56" s="344">
        <f>D56*I56</f>
        <v>8.9154583639112064E-2</v>
      </c>
      <c r="K56" s="340"/>
      <c r="L56" s="340"/>
      <c r="M56" s="340"/>
      <c r="N56" s="340"/>
      <c r="O56" s="345"/>
    </row>
    <row r="57" spans="1:15" x14ac:dyDescent="0.25">
      <c r="A57" s="388">
        <v>30</v>
      </c>
      <c r="B57" s="477" t="s">
        <v>224</v>
      </c>
      <c r="C57" s="388" t="s">
        <v>85</v>
      </c>
      <c r="D57" s="344">
        <v>0.01</v>
      </c>
      <c r="E57" s="478">
        <v>8</v>
      </c>
      <c r="F57" s="477" t="s">
        <v>30</v>
      </c>
      <c r="G57" s="478"/>
      <c r="H57" s="477"/>
      <c r="I57" s="478">
        <v>4</v>
      </c>
      <c r="J57" s="344">
        <f>D57*I57</f>
        <v>0.04</v>
      </c>
      <c r="K57" s="376"/>
      <c r="L57" s="376"/>
      <c r="M57" s="376"/>
      <c r="N57" s="376"/>
      <c r="O57" s="345"/>
    </row>
    <row r="58" spans="1:15" x14ac:dyDescent="0.25">
      <c r="A58" s="369"/>
      <c r="B58" s="370"/>
      <c r="C58" s="370"/>
      <c r="D58" s="370"/>
      <c r="E58" s="370"/>
      <c r="F58" s="370"/>
      <c r="G58" s="370"/>
      <c r="H58" s="370"/>
      <c r="I58" s="474" t="s">
        <v>18</v>
      </c>
      <c r="J58" s="475">
        <f>SUM(J55:J57)</f>
        <v>0.45250761375459631</v>
      </c>
      <c r="K58" s="340"/>
      <c r="L58" s="340"/>
      <c r="M58" s="340"/>
      <c r="N58" s="340"/>
      <c r="O58" s="345"/>
    </row>
    <row r="59" spans="1:15" x14ac:dyDescent="0.25">
      <c r="A59" s="373"/>
      <c r="B59" s="340"/>
      <c r="C59" s="340"/>
      <c r="D59" s="340"/>
      <c r="E59" s="340"/>
      <c r="F59" s="340"/>
      <c r="G59" s="340"/>
      <c r="H59" s="340"/>
      <c r="I59" s="340"/>
      <c r="J59" s="340"/>
      <c r="K59" s="340"/>
      <c r="L59" s="340"/>
      <c r="M59" s="340"/>
      <c r="N59" s="340"/>
      <c r="O59" s="345"/>
    </row>
    <row r="60" spans="1:15" s="180" customFormat="1" x14ac:dyDescent="0.25">
      <c r="A60" s="95" t="s">
        <v>14</v>
      </c>
      <c r="B60" s="95" t="s">
        <v>179</v>
      </c>
      <c r="C60" s="95" t="s">
        <v>20</v>
      </c>
      <c r="D60" s="95" t="s">
        <v>21</v>
      </c>
      <c r="E60" s="95" t="s">
        <v>32</v>
      </c>
      <c r="F60" s="95" t="s">
        <v>17</v>
      </c>
      <c r="G60" s="95" t="s">
        <v>180</v>
      </c>
      <c r="H60" s="95" t="s">
        <v>181</v>
      </c>
      <c r="I60" s="95" t="s">
        <v>18</v>
      </c>
      <c r="J60" s="222"/>
      <c r="K60" s="224"/>
      <c r="L60" s="224"/>
      <c r="M60" s="224"/>
      <c r="N60" s="224"/>
      <c r="O60" s="225"/>
    </row>
    <row r="61" spans="1:15" s="180" customFormat="1" x14ac:dyDescent="0.25">
      <c r="A61" s="220">
        <v>10</v>
      </c>
      <c r="B61" s="220" t="s">
        <v>182</v>
      </c>
      <c r="C61" s="220" t="s">
        <v>183</v>
      </c>
      <c r="D61" s="272">
        <v>500</v>
      </c>
      <c r="E61" s="220" t="s">
        <v>184</v>
      </c>
      <c r="F61" s="220">
        <f>8</f>
        <v>8</v>
      </c>
      <c r="G61" s="220">
        <v>3000</v>
      </c>
      <c r="H61" s="220">
        <v>1</v>
      </c>
      <c r="I61" s="274">
        <f>D61*F61/G61*H61</f>
        <v>1.3333333333333333</v>
      </c>
      <c r="J61" s="222"/>
      <c r="K61" s="224"/>
      <c r="L61" s="224"/>
      <c r="M61" s="224"/>
      <c r="N61" s="224"/>
      <c r="O61" s="225"/>
    </row>
    <row r="62" spans="1:15" s="180" customFormat="1" x14ac:dyDescent="0.25">
      <c r="A62" s="244"/>
      <c r="B62" s="222"/>
      <c r="C62" s="222"/>
      <c r="D62" s="222"/>
      <c r="E62" s="222"/>
      <c r="F62" s="222"/>
      <c r="G62" s="222"/>
      <c r="H62" s="246" t="s">
        <v>18</v>
      </c>
      <c r="I62" s="245">
        <f>SUM(I61:I61)</f>
        <v>1.3333333333333333</v>
      </c>
      <c r="J62" s="222"/>
      <c r="K62" s="224"/>
      <c r="L62" s="224"/>
      <c r="M62" s="224"/>
      <c r="N62" s="224"/>
      <c r="O62" s="225"/>
    </row>
    <row r="63" spans="1:15" ht="15.75" thickBot="1" x14ac:dyDescent="0.3">
      <c r="A63" s="379"/>
      <c r="B63" s="380"/>
      <c r="C63" s="380"/>
      <c r="D63" s="380"/>
      <c r="E63" s="380"/>
      <c r="F63" s="380"/>
      <c r="G63" s="380"/>
      <c r="H63" s="380"/>
      <c r="I63" s="380"/>
      <c r="J63" s="380"/>
      <c r="K63" s="380"/>
      <c r="L63" s="380"/>
      <c r="M63" s="380"/>
      <c r="N63" s="380"/>
      <c r="O63" s="381"/>
    </row>
    <row r="64" spans="1:15" x14ac:dyDescent="0.25">
      <c r="A64" s="56"/>
      <c r="B64" s="56"/>
      <c r="C64" s="56"/>
      <c r="D64" s="56"/>
      <c r="E64" s="56"/>
      <c r="F64" s="56"/>
      <c r="G64" s="56"/>
      <c r="H64" s="56"/>
      <c r="I64" s="56"/>
      <c r="J64" s="56"/>
      <c r="K64" s="56"/>
      <c r="L64" s="56"/>
      <c r="M64" s="56"/>
      <c r="N64" s="56"/>
    </row>
  </sheetData>
  <hyperlinks>
    <hyperlink ref="E2" location="SU_A0200_BOM" display="Back to BOM" xr:uid="{00000000-0004-0000-1600-000000000000}"/>
    <hyperlink ref="B15" location="SU_02006" display="SU_02006" xr:uid="{00000000-0004-0000-1600-000001000000}"/>
    <hyperlink ref="B13" location="SU_02004" display="SU_02004" xr:uid="{00000000-0004-0000-1600-000002000000}"/>
    <hyperlink ref="B12" location="SU_02003" display="SU_02003" xr:uid="{00000000-0004-0000-1600-000003000000}"/>
    <hyperlink ref="B11" location="SU_02002" display="SU_02002" xr:uid="{00000000-0004-0000-1600-000004000000}"/>
    <hyperlink ref="B16" location="SU_02007" display="SU_02007" xr:uid="{00000000-0004-0000-1600-000005000000}"/>
    <hyperlink ref="B14" location="SU_02005" display="SU_02005" xr:uid="{00000000-0004-0000-1600-000006000000}"/>
    <hyperlink ref="B11:B13" location="BR_01001" display="BR_01001" xr:uid="{00000000-0004-0000-1600-000007000000}"/>
    <hyperlink ref="B10" location="SU_02001" display="SU_02001" xr:uid="{00000000-0004-0000-1600-000008000000}"/>
    <hyperlink ref="B17" location="SU_02008" display="SU_02008" xr:uid="{00000000-0004-0000-1600-000009000000}"/>
    <hyperlink ref="B18" location="SU_02009" display="SU_02009" xr:uid="{00000000-0004-0000-1600-00000A000000}"/>
    <hyperlink ref="B19" location="SU_02010" display="SU_02010" xr:uid="{00000000-0004-0000-1600-00000B000000}"/>
    <hyperlink ref="B20" location="SU_02011" display="SU_02011" xr:uid="{00000000-0004-0000-1600-00000C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3" firstPageNumber="0" fitToHeight="99" orientation="landscape" r:id="rId1"/>
  <headerFooter>
    <oddFooter>Page &amp;P</oddFooter>
  </headerFooter>
  <rowBreaks count="1" manualBreakCount="1">
    <brk id="63" max="16383" man="1"/>
  </rowBreaks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>
    <tabColor rgb="FFFFFF66"/>
    <pageSetUpPr fitToPage="1"/>
  </sheetPr>
  <dimension ref="A1:S24"/>
  <sheetViews>
    <sheetView zoomScale="106" zoomScaleNormal="106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22" customWidth="1"/>
    <col min="3" max="3" width="27.140625" customWidth="1"/>
    <col min="7" max="7" width="11.42578125" customWidth="1"/>
    <col min="9" max="9" width="13" customWidth="1"/>
    <col min="10" max="10" width="12.5703125" customWidth="1"/>
    <col min="15" max="15" width="3.140625" customWidth="1"/>
    <col min="18" max="19" width="16.28515625" bestFit="1" customWidth="1"/>
  </cols>
  <sheetData>
    <row r="1" spans="1:19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SU_02001_m+SU_02001_p</f>
        <v>9.1140000000000008</v>
      </c>
      <c r="O2" s="62"/>
    </row>
    <row r="3" spans="1:19" x14ac:dyDescent="0.25">
      <c r="A3" s="99" t="s">
        <v>3</v>
      </c>
      <c r="B3" s="16" t="str">
        <f>'SU A0200'!B3</f>
        <v>Suspension &amp; Shocks</v>
      </c>
      <c r="C3" s="56"/>
      <c r="D3" s="99" t="s">
        <v>6</v>
      </c>
      <c r="E3" s="8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9" x14ac:dyDescent="0.25">
      <c r="A4" s="99" t="s">
        <v>5</v>
      </c>
      <c r="B4" s="88" t="s">
        <v>105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9" x14ac:dyDescent="0.25">
      <c r="A5" s="99" t="s">
        <v>15</v>
      </c>
      <c r="B5" s="18" t="s">
        <v>107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9.1140000000000008</v>
      </c>
      <c r="O5" s="62"/>
    </row>
    <row r="6" spans="1:19" x14ac:dyDescent="0.25">
      <c r="A6" s="99" t="s">
        <v>7</v>
      </c>
      <c r="B6" s="28" t="s">
        <v>115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9" x14ac:dyDescent="0.25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9" s="22" customFormat="1" ht="17.45" customHeight="1" x14ac:dyDescent="0.25">
      <c r="A11" s="500">
        <v>10</v>
      </c>
      <c r="B11" s="501" t="s">
        <v>200</v>
      </c>
      <c r="C11" s="500" t="s">
        <v>225</v>
      </c>
      <c r="D11" s="502">
        <v>4.2</v>
      </c>
      <c r="E11" s="503"/>
      <c r="F11" s="500"/>
      <c r="G11" s="500"/>
      <c r="H11" s="504"/>
      <c r="I11" s="312" t="s">
        <v>227</v>
      </c>
      <c r="J11" s="247">
        <f>64*56/1000000</f>
        <v>3.5839999999999999E-3</v>
      </c>
      <c r="K11" s="247">
        <v>1.6E-2</v>
      </c>
      <c r="L11" s="79">
        <v>2712</v>
      </c>
      <c r="M11" s="143">
        <v>1</v>
      </c>
      <c r="N11" s="30">
        <f>D11*M11</f>
        <v>4.2</v>
      </c>
      <c r="O11" s="66"/>
    </row>
    <row r="12" spans="1:19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4.2</v>
      </c>
      <c r="O12" s="62"/>
    </row>
    <row r="13" spans="1:19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S13" s="131"/>
    </row>
    <row r="14" spans="1:19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  <c r="R14" s="131"/>
    </row>
    <row r="15" spans="1:19" s="513" customFormat="1" ht="30" x14ac:dyDescent="0.25">
      <c r="A15" s="505">
        <v>10</v>
      </c>
      <c r="B15" s="324" t="s">
        <v>39</v>
      </c>
      <c r="C15" s="506"/>
      <c r="D15" s="507">
        <v>1.3</v>
      </c>
      <c r="E15" s="324" t="s">
        <v>32</v>
      </c>
      <c r="F15" s="506">
        <v>1</v>
      </c>
      <c r="G15" s="506"/>
      <c r="H15" s="506"/>
      <c r="I15" s="508">
        <f t="shared" ref="I15:I22" si="0">IF(H15="",D15*F15,D15*F15*H15)</f>
        <v>1.3</v>
      </c>
      <c r="J15" s="511"/>
      <c r="K15" s="511"/>
      <c r="L15" s="511"/>
      <c r="M15" s="511"/>
      <c r="N15" s="511"/>
      <c r="O15" s="512"/>
    </row>
    <row r="16" spans="1:19" s="513" customFormat="1" ht="28.9" customHeight="1" x14ac:dyDescent="0.25">
      <c r="A16" s="310">
        <v>20</v>
      </c>
      <c r="B16" s="324" t="s">
        <v>92</v>
      </c>
      <c r="C16" s="509" t="s">
        <v>228</v>
      </c>
      <c r="D16" s="293">
        <v>0.04</v>
      </c>
      <c r="E16" s="310" t="s">
        <v>93</v>
      </c>
      <c r="F16" s="282">
        <v>30</v>
      </c>
      <c r="G16" s="324" t="s">
        <v>193</v>
      </c>
      <c r="H16" s="510">
        <v>1</v>
      </c>
      <c r="I16" s="294">
        <f t="shared" si="0"/>
        <v>1.2</v>
      </c>
      <c r="J16" s="514"/>
      <c r="K16" s="514"/>
      <c r="L16" s="514"/>
      <c r="M16" s="514"/>
      <c r="N16" s="514"/>
      <c r="O16" s="515"/>
    </row>
    <row r="17" spans="1:15" s="513" customFormat="1" ht="16.149999999999999" customHeight="1" x14ac:dyDescent="0.25">
      <c r="A17" s="505">
        <v>30</v>
      </c>
      <c r="B17" s="324" t="s">
        <v>91</v>
      </c>
      <c r="C17" s="506"/>
      <c r="D17" s="507">
        <v>0.65</v>
      </c>
      <c r="E17" s="324" t="s">
        <v>32</v>
      </c>
      <c r="F17" s="506">
        <v>1</v>
      </c>
      <c r="G17" s="506"/>
      <c r="H17" s="506"/>
      <c r="I17" s="508">
        <f t="shared" si="0"/>
        <v>0.65</v>
      </c>
      <c r="J17" s="516"/>
      <c r="K17" s="516"/>
      <c r="L17" s="516"/>
      <c r="M17" s="516"/>
      <c r="N17" s="516"/>
      <c r="O17" s="517"/>
    </row>
    <row r="18" spans="1:15" s="513" customFormat="1" ht="32.450000000000003" customHeight="1" x14ac:dyDescent="0.25">
      <c r="A18" s="310">
        <v>40</v>
      </c>
      <c r="B18" s="324" t="s">
        <v>92</v>
      </c>
      <c r="C18" s="509" t="s">
        <v>186</v>
      </c>
      <c r="D18" s="293">
        <v>0.04</v>
      </c>
      <c r="E18" s="310" t="s">
        <v>93</v>
      </c>
      <c r="F18" s="282">
        <v>2.2999999999999998</v>
      </c>
      <c r="G18" s="324" t="s">
        <v>193</v>
      </c>
      <c r="H18" s="510">
        <v>1</v>
      </c>
      <c r="I18" s="294">
        <f t="shared" si="0"/>
        <v>9.1999999999999998E-2</v>
      </c>
      <c r="J18" s="514"/>
      <c r="K18" s="514"/>
      <c r="L18" s="514"/>
      <c r="M18" s="514"/>
      <c r="N18" s="514"/>
      <c r="O18" s="515"/>
    </row>
    <row r="19" spans="1:15" s="513" customFormat="1" ht="15.6" customHeight="1" x14ac:dyDescent="0.25">
      <c r="A19" s="505">
        <v>50</v>
      </c>
      <c r="B19" s="324" t="s">
        <v>91</v>
      </c>
      <c r="C19" s="506"/>
      <c r="D19" s="507">
        <v>0.65</v>
      </c>
      <c r="E19" s="324" t="s">
        <v>32</v>
      </c>
      <c r="F19" s="506">
        <v>1</v>
      </c>
      <c r="G19" s="506"/>
      <c r="H19" s="506"/>
      <c r="I19" s="508">
        <f t="shared" si="0"/>
        <v>0.65</v>
      </c>
      <c r="J19" s="514"/>
      <c r="K19" s="514"/>
      <c r="L19" s="514"/>
      <c r="M19" s="514"/>
      <c r="N19" s="514"/>
      <c r="O19" s="515"/>
    </row>
    <row r="20" spans="1:15" s="513" customFormat="1" ht="28.15" customHeight="1" x14ac:dyDescent="0.25">
      <c r="A20" s="310">
        <v>60</v>
      </c>
      <c r="B20" s="324" t="s">
        <v>92</v>
      </c>
      <c r="C20" s="509" t="s">
        <v>187</v>
      </c>
      <c r="D20" s="293">
        <v>0.04</v>
      </c>
      <c r="E20" s="310" t="s">
        <v>93</v>
      </c>
      <c r="F20" s="282">
        <v>2.2999999999999998</v>
      </c>
      <c r="G20" s="324" t="s">
        <v>193</v>
      </c>
      <c r="H20" s="510">
        <v>1</v>
      </c>
      <c r="I20" s="294">
        <f t="shared" si="0"/>
        <v>9.1999999999999998E-2</v>
      </c>
      <c r="J20" s="514"/>
      <c r="K20" s="514"/>
      <c r="L20" s="514"/>
      <c r="M20" s="514"/>
      <c r="N20" s="514"/>
      <c r="O20" s="515"/>
    </row>
    <row r="21" spans="1:15" s="513" customFormat="1" ht="18" customHeight="1" x14ac:dyDescent="0.25">
      <c r="A21" s="505">
        <v>70</v>
      </c>
      <c r="B21" s="324" t="s">
        <v>91</v>
      </c>
      <c r="C21" s="506"/>
      <c r="D21" s="507">
        <v>0.65</v>
      </c>
      <c r="E21" s="324" t="s">
        <v>32</v>
      </c>
      <c r="F21" s="506">
        <v>1</v>
      </c>
      <c r="G21" s="506"/>
      <c r="H21" s="506"/>
      <c r="I21" s="508">
        <f t="shared" si="0"/>
        <v>0.65</v>
      </c>
      <c r="J21" s="518"/>
      <c r="K21" s="518"/>
      <c r="L21" s="518"/>
      <c r="M21" s="518"/>
      <c r="N21" s="518"/>
      <c r="O21" s="515"/>
    </row>
    <row r="22" spans="1:15" s="513" customFormat="1" ht="27.6" customHeight="1" x14ac:dyDescent="0.25">
      <c r="A22" s="310">
        <v>80</v>
      </c>
      <c r="B22" s="324" t="s">
        <v>92</v>
      </c>
      <c r="C22" s="509" t="s">
        <v>226</v>
      </c>
      <c r="D22" s="293">
        <v>0.04</v>
      </c>
      <c r="E22" s="310" t="s">
        <v>93</v>
      </c>
      <c r="F22" s="282">
        <v>7</v>
      </c>
      <c r="G22" s="324" t="s">
        <v>193</v>
      </c>
      <c r="H22" s="510">
        <v>1</v>
      </c>
      <c r="I22" s="294">
        <f t="shared" si="0"/>
        <v>0.28000000000000003</v>
      </c>
      <c r="J22" s="519"/>
      <c r="K22" s="514"/>
      <c r="L22" s="514"/>
      <c r="M22" s="514"/>
      <c r="N22" s="514"/>
      <c r="O22" s="515"/>
    </row>
    <row r="23" spans="1:15" x14ac:dyDescent="0.25">
      <c r="A23" s="67"/>
      <c r="B23" s="24"/>
      <c r="C23" s="24"/>
      <c r="D23" s="24"/>
      <c r="E23" s="24"/>
      <c r="F23" s="24"/>
      <c r="G23" s="24"/>
      <c r="H23" s="108" t="s">
        <v>18</v>
      </c>
      <c r="I23" s="106">
        <f>SUM(I15:I22)</f>
        <v>4.9140000000000006</v>
      </c>
      <c r="J23" s="24"/>
      <c r="K23" s="24"/>
      <c r="L23" s="24"/>
      <c r="M23" s="24"/>
      <c r="N23" s="24"/>
      <c r="O23" s="62"/>
    </row>
    <row r="24" spans="1:15" ht="15.75" thickBot="1" x14ac:dyDescent="0.3">
      <c r="A24" s="69"/>
      <c r="B24" s="70"/>
      <c r="C24" s="70"/>
      <c r="D24" s="70"/>
      <c r="E24" s="70"/>
      <c r="F24" s="70"/>
      <c r="G24" s="70"/>
      <c r="H24" s="70"/>
      <c r="I24" s="70"/>
      <c r="J24" s="70"/>
      <c r="K24" s="70"/>
      <c r="L24" s="70"/>
      <c r="M24" s="70"/>
      <c r="N24" s="70"/>
      <c r="O24" s="71"/>
    </row>
  </sheetData>
  <hyperlinks>
    <hyperlink ref="E3" location="dSU_02001" display="Drawing" xr:uid="{00000000-0004-0000-1700-000000000000}"/>
    <hyperlink ref="B4" location="SU_A0200" display="Lower Front A-arm" xr:uid="{00000000-0004-0000-1700-000001000000}"/>
    <hyperlink ref="G2" location="SU_A0200_BOM" display="Back to BOM" xr:uid="{00000000-0004-0000-17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2" firstPageNumber="0" fitToHeight="99" orientation="landscape" r:id="rId1"/>
  <headerFooter>
    <oddFooter>Page &amp;P</oddFooter>
  </headerFooter>
  <rowBreaks count="2" manualBreakCount="2">
    <brk id="24" max="16383" man="1"/>
    <brk id="58" max="16383" man="1"/>
  </rowBreaks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99</v>
      </c>
      <c r="B1" s="88" t="str">
        <f>SU_01001</f>
        <v>SU_01001</v>
      </c>
    </row>
  </sheetData>
  <hyperlinks>
    <hyperlink ref="B1" location="SU_02001" display="SU_02001" xr:uid="{00000000-0004-0000-18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>
    <tabColor rgb="FFFFFF66"/>
    <pageSetUpPr fitToPage="1"/>
  </sheetPr>
  <dimension ref="A1:S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23.140625" customWidth="1"/>
    <col min="9" max="9" width="21.42578125" customWidth="1"/>
    <col min="18" max="18" width="13.85546875" bestFit="1" customWidth="1"/>
  </cols>
  <sheetData>
    <row r="1" spans="1:19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N12+I21</f>
        <v>1.8728805440000003</v>
      </c>
      <c r="O2" s="62"/>
    </row>
    <row r="3" spans="1:19" x14ac:dyDescent="0.25">
      <c r="A3" s="99" t="s">
        <v>3</v>
      </c>
      <c r="B3" s="16" t="str">
        <f>'SU A0200'!B3</f>
        <v>Suspension &amp; Shocks</v>
      </c>
      <c r="C3" s="56"/>
      <c r="D3" s="99" t="s">
        <v>6</v>
      </c>
      <c r="E3" s="8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9" x14ac:dyDescent="0.25">
      <c r="A4" s="99" t="s">
        <v>5</v>
      </c>
      <c r="B4" s="87" t="s">
        <v>105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9" x14ac:dyDescent="0.25">
      <c r="A5" s="99" t="s">
        <v>15</v>
      </c>
      <c r="B5" s="73" t="s">
        <v>90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3.7457610880000005</v>
      </c>
      <c r="O5" s="62"/>
    </row>
    <row r="6" spans="1:19" x14ac:dyDescent="0.25">
      <c r="A6" s="99" t="s">
        <v>7</v>
      </c>
      <c r="B6" s="28" t="s">
        <v>116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9" x14ac:dyDescent="0.25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9" x14ac:dyDescent="0.25">
      <c r="A11" s="85">
        <v>10</v>
      </c>
      <c r="B11" s="26" t="s">
        <v>66</v>
      </c>
      <c r="C11" s="20" t="s">
        <v>38</v>
      </c>
      <c r="D11" s="277">
        <f>4.2</f>
        <v>4.2</v>
      </c>
      <c r="E11" s="257">
        <f>J11*K11*L11</f>
        <v>0.20437632</v>
      </c>
      <c r="F11" s="20" t="s">
        <v>94</v>
      </c>
      <c r="G11" s="20"/>
      <c r="H11" s="278"/>
      <c r="I11" s="21" t="s">
        <v>95</v>
      </c>
      <c r="J11" s="247">
        <f>3.14*20*20/1000000</f>
        <v>1.256E-3</v>
      </c>
      <c r="K11" s="256">
        <v>0.06</v>
      </c>
      <c r="L11" s="79">
        <v>2712</v>
      </c>
      <c r="M11" s="23">
        <v>1</v>
      </c>
      <c r="N11" s="277">
        <f>D11*E11*M11</f>
        <v>0.85838054400000008</v>
      </c>
      <c r="O11" s="66"/>
      <c r="P11" s="22"/>
      <c r="Q11" s="22"/>
      <c r="R11" s="22"/>
      <c r="S11" s="22"/>
    </row>
    <row r="12" spans="1:19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0.85838054400000008</v>
      </c>
      <c r="O12" s="62"/>
    </row>
    <row r="13" spans="1:19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R13" s="131"/>
      <c r="S13" s="131"/>
    </row>
    <row r="14" spans="1:19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  <c r="R14" s="131"/>
    </row>
    <row r="15" spans="1:19" ht="60" x14ac:dyDescent="0.25">
      <c r="A15" s="326">
        <v>10</v>
      </c>
      <c r="B15" s="327" t="s">
        <v>39</v>
      </c>
      <c r="C15" s="326"/>
      <c r="D15" s="328">
        <v>1.3</v>
      </c>
      <c r="E15" s="327" t="s">
        <v>32</v>
      </c>
      <c r="F15" s="326">
        <v>1</v>
      </c>
      <c r="G15" s="326" t="s">
        <v>553</v>
      </c>
      <c r="H15" s="326">
        <f>1/16</f>
        <v>6.25E-2</v>
      </c>
      <c r="I15" s="329">
        <f t="shared" ref="I15:I20" si="0">IF(H15="",D15*F15,D15*F15*H15)</f>
        <v>8.1250000000000003E-2</v>
      </c>
      <c r="J15" s="58"/>
      <c r="K15" s="58"/>
      <c r="L15" s="58"/>
      <c r="M15" s="58"/>
      <c r="N15" s="58"/>
      <c r="O15" s="68"/>
      <c r="P15" s="25"/>
      <c r="Q15" s="25"/>
      <c r="R15" s="133"/>
      <c r="S15" s="25"/>
    </row>
    <row r="16" spans="1:19" ht="28.15" customHeight="1" x14ac:dyDescent="0.25">
      <c r="A16" s="330">
        <v>20</v>
      </c>
      <c r="B16" s="327" t="s">
        <v>92</v>
      </c>
      <c r="C16" s="331" t="s">
        <v>192</v>
      </c>
      <c r="D16" s="332">
        <v>0.04</v>
      </c>
      <c r="E16" s="330" t="s">
        <v>93</v>
      </c>
      <c r="F16" s="333">
        <v>17</v>
      </c>
      <c r="G16" s="327" t="s">
        <v>193</v>
      </c>
      <c r="H16" s="231">
        <v>1</v>
      </c>
      <c r="I16" s="334">
        <f t="shared" si="0"/>
        <v>0.68</v>
      </c>
      <c r="J16" s="56"/>
      <c r="K16" s="56"/>
      <c r="L16" s="56"/>
      <c r="M16" s="56"/>
      <c r="N16" s="56"/>
      <c r="O16" s="62"/>
      <c r="R16" s="131"/>
    </row>
    <row r="17" spans="1:19" ht="60" x14ac:dyDescent="0.25">
      <c r="A17" s="326">
        <v>30</v>
      </c>
      <c r="B17" s="327" t="s">
        <v>91</v>
      </c>
      <c r="C17" s="326"/>
      <c r="D17" s="328">
        <v>0.65</v>
      </c>
      <c r="E17" s="327" t="s">
        <v>32</v>
      </c>
      <c r="F17" s="326">
        <v>1</v>
      </c>
      <c r="G17" s="326" t="s">
        <v>553</v>
      </c>
      <c r="H17" s="326">
        <f>1/16</f>
        <v>6.25E-2</v>
      </c>
      <c r="I17" s="329">
        <f t="shared" si="0"/>
        <v>4.0625000000000001E-2</v>
      </c>
      <c r="J17" s="57"/>
      <c r="K17" s="57"/>
      <c r="L17" s="57"/>
      <c r="M17" s="57"/>
      <c r="N17" s="57"/>
      <c r="O17" s="65"/>
      <c r="P17" s="17"/>
      <c r="Q17" s="17"/>
      <c r="R17" s="132"/>
      <c r="S17" s="17"/>
    </row>
    <row r="18" spans="1:19" ht="15.6" customHeight="1" x14ac:dyDescent="0.25">
      <c r="A18" s="330">
        <v>40</v>
      </c>
      <c r="B18" s="327" t="s">
        <v>92</v>
      </c>
      <c r="C18" s="331" t="s">
        <v>194</v>
      </c>
      <c r="D18" s="332">
        <v>0.04</v>
      </c>
      <c r="E18" s="330" t="s">
        <v>93</v>
      </c>
      <c r="F18" s="333">
        <v>2</v>
      </c>
      <c r="G18" s="327" t="s">
        <v>193</v>
      </c>
      <c r="H18" s="231">
        <v>1</v>
      </c>
      <c r="I18" s="334">
        <f t="shared" si="0"/>
        <v>0.08</v>
      </c>
      <c r="J18" s="56"/>
      <c r="K18" s="56"/>
      <c r="L18" s="56"/>
      <c r="M18" s="56"/>
      <c r="N18" s="56"/>
      <c r="O18" s="62"/>
      <c r="R18" s="131"/>
    </row>
    <row r="19" spans="1:19" ht="60" x14ac:dyDescent="0.25">
      <c r="A19" s="326">
        <v>50</v>
      </c>
      <c r="B19" s="327" t="s">
        <v>91</v>
      </c>
      <c r="C19" s="326"/>
      <c r="D19" s="328">
        <v>0.65</v>
      </c>
      <c r="E19" s="327" t="s">
        <v>32</v>
      </c>
      <c r="F19" s="326">
        <v>1</v>
      </c>
      <c r="G19" s="326" t="s">
        <v>553</v>
      </c>
      <c r="H19" s="326">
        <f>1/16</f>
        <v>6.25E-2</v>
      </c>
      <c r="I19" s="329">
        <f t="shared" si="0"/>
        <v>4.0625000000000001E-2</v>
      </c>
      <c r="J19" s="56"/>
      <c r="K19" s="56"/>
      <c r="L19" s="56"/>
      <c r="M19" s="56"/>
      <c r="N19" s="56"/>
      <c r="O19" s="62"/>
      <c r="R19" s="131"/>
    </row>
    <row r="20" spans="1:19" ht="14.45" customHeight="1" x14ac:dyDescent="0.25">
      <c r="A20" s="330">
        <v>60</v>
      </c>
      <c r="B20" s="327" t="s">
        <v>92</v>
      </c>
      <c r="C20" s="331" t="s">
        <v>195</v>
      </c>
      <c r="D20" s="332">
        <v>0.04</v>
      </c>
      <c r="E20" s="330" t="s">
        <v>93</v>
      </c>
      <c r="F20" s="333">
        <v>2.2999999999999998</v>
      </c>
      <c r="G20" s="327" t="s">
        <v>193</v>
      </c>
      <c r="H20" s="231">
        <v>1</v>
      </c>
      <c r="I20" s="334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25">
      <c r="A21" s="67"/>
      <c r="B21" s="24"/>
      <c r="C21" s="24"/>
      <c r="D21" s="24"/>
      <c r="E21" s="24"/>
      <c r="F21" s="24"/>
      <c r="G21" s="24"/>
      <c r="H21" s="108" t="s">
        <v>18</v>
      </c>
      <c r="I21" s="106">
        <f>SUM(I15:I20)</f>
        <v>1.0145000000000002</v>
      </c>
      <c r="J21" s="24"/>
      <c r="K21" s="24"/>
      <c r="L21" s="24"/>
      <c r="M21" s="24"/>
      <c r="N21" s="24"/>
      <c r="O21" s="62"/>
    </row>
    <row r="22" spans="1:19" ht="15.75" thickBot="1" x14ac:dyDescent="0.3">
      <c r="A22" s="69"/>
      <c r="B22" s="70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  <c r="N22" s="70"/>
      <c r="O22" s="71"/>
    </row>
  </sheetData>
  <hyperlinks>
    <hyperlink ref="B4" location="SU_A0200" display="Lower Front A-arm" xr:uid="{00000000-0004-0000-1900-000000000000}"/>
    <hyperlink ref="E3" location="dSU_02002" display="Drawing" xr:uid="{00000000-0004-0000-1900-000001000000}"/>
    <hyperlink ref="G2" location="SU_A0200_BOM" display="Back to BOM" xr:uid="{00000000-0004-0000-19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3" fitToHeight="99" orientation="landscape" r:id="rId1"/>
  <headerFooter>
    <oddFooter>Page &amp;P</oddFooter>
  </headerFooter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sheetPr>
    <tabColor rgb="FFFFFF66"/>
    <pageSetUpPr fitToPage="1"/>
  </sheetPr>
  <dimension ref="A1:B6"/>
  <sheetViews>
    <sheetView zoomScale="106" zoomScaleNormal="106" zoomScalePageLayoutView="70" workbookViewId="0">
      <selection activeCell="E2" sqref="E2"/>
    </sheetView>
  </sheetViews>
  <sheetFormatPr baseColWidth="10" defaultRowHeight="15" x14ac:dyDescent="0.25"/>
  <cols>
    <col min="1" max="1" width="18.85546875" customWidth="1"/>
  </cols>
  <sheetData>
    <row r="1" spans="1:2" x14ac:dyDescent="0.25">
      <c r="A1" t="s">
        <v>99</v>
      </c>
      <c r="B1" s="88" t="s">
        <v>108</v>
      </c>
    </row>
    <row r="6" spans="1:2" x14ac:dyDescent="0.25">
      <c r="B6" s="134"/>
    </row>
  </sheetData>
  <hyperlinks>
    <hyperlink ref="B1" location="SU_02002!B5" display="SU_01002" xr:uid="{00000000-0004-0000-1A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>
    <tabColor rgb="FFFFFF66"/>
    <pageSetUpPr fitToPage="1"/>
  </sheetPr>
  <dimension ref="A1:O17"/>
  <sheetViews>
    <sheetView zoomScale="85" zoomScaleNormal="85" zoomScalePageLayoutView="70" workbookViewId="0">
      <selection activeCell="E2" sqref="E2"/>
    </sheetView>
  </sheetViews>
  <sheetFormatPr baseColWidth="10" defaultRowHeight="15" x14ac:dyDescent="0.25"/>
  <cols>
    <col min="2" max="2" width="19.42578125" customWidth="1"/>
    <col min="3" max="3" width="33" customWidth="1"/>
    <col min="5" max="5" width="17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N12+I16</f>
        <v>11.220746039999998</v>
      </c>
      <c r="O2" s="62"/>
    </row>
    <row r="3" spans="1:15" x14ac:dyDescent="0.25">
      <c r="A3" s="99" t="s">
        <v>3</v>
      </c>
      <c r="B3" s="16" t="str">
        <f>'SU A0200'!B3</f>
        <v>Suspension &amp; Shocks</v>
      </c>
      <c r="C3" s="56"/>
      <c r="D3" s="99" t="s">
        <v>6</v>
      </c>
      <c r="E3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5" x14ac:dyDescent="0.25">
      <c r="A4" s="99" t="s">
        <v>5</v>
      </c>
      <c r="B4" s="87" t="s">
        <v>105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25">
      <c r="A5" s="99" t="s">
        <v>15</v>
      </c>
      <c r="B5" s="73" t="s">
        <v>109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11.220746039999998</v>
      </c>
      <c r="O5" s="62"/>
    </row>
    <row r="6" spans="1:15" x14ac:dyDescent="0.25">
      <c r="A6" s="99" t="s">
        <v>7</v>
      </c>
      <c r="B6" s="28" t="s">
        <v>110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25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x14ac:dyDescent="0.25">
      <c r="A11" s="85">
        <v>10</v>
      </c>
      <c r="B11" s="141" t="s">
        <v>117</v>
      </c>
      <c r="C11" s="142" t="s">
        <v>118</v>
      </c>
      <c r="D11" s="145">
        <f>200*E11*L11</f>
        <v>9.9739964799999985</v>
      </c>
      <c r="E11" s="144">
        <f>J11*K11</f>
        <v>3.1563279999999995E-5</v>
      </c>
      <c r="F11" s="20" t="s">
        <v>119</v>
      </c>
      <c r="G11" s="20"/>
      <c r="H11" s="19"/>
      <c r="I11" s="21" t="s">
        <v>96</v>
      </c>
      <c r="J11" s="247">
        <f>3.14*(0.008*0.008-0.006*0.006)</f>
        <v>8.7919999999999985E-5</v>
      </c>
      <c r="K11" s="247">
        <v>0.35899999999999999</v>
      </c>
      <c r="L11" s="79">
        <v>1580</v>
      </c>
      <c r="M11" s="143">
        <v>1</v>
      </c>
      <c r="N11" s="30">
        <f>D11*M11</f>
        <v>9.9739964799999985</v>
      </c>
      <c r="O11" s="66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9.9739964799999985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5" ht="30" x14ac:dyDescent="0.25">
      <c r="A15" s="141">
        <v>10</v>
      </c>
      <c r="B15" s="141" t="s">
        <v>139</v>
      </c>
      <c r="C15" s="141" t="s">
        <v>140</v>
      </c>
      <c r="D15" s="217">
        <v>25</v>
      </c>
      <c r="E15" s="216" t="s">
        <v>141</v>
      </c>
      <c r="F15" s="520">
        <f>J11*K11*L11</f>
        <v>4.9869982399999992E-2</v>
      </c>
      <c r="G15" s="215"/>
      <c r="H15" s="215"/>
      <c r="I15" s="218">
        <f>IF(H15="",D15*F15,D15*F15*H15)</f>
        <v>1.2467495599999998</v>
      </c>
      <c r="J15" s="58"/>
      <c r="K15" s="58"/>
      <c r="L15" s="58"/>
      <c r="M15" s="58"/>
      <c r="N15" s="58"/>
      <c r="O15" s="68"/>
    </row>
    <row r="16" spans="1:15" x14ac:dyDescent="0.25">
      <c r="A16" s="67"/>
      <c r="B16" s="24"/>
      <c r="C16" s="24"/>
      <c r="D16" s="24"/>
      <c r="E16" s="24"/>
      <c r="F16" s="24"/>
      <c r="G16" s="24"/>
      <c r="H16" s="108" t="s">
        <v>18</v>
      </c>
      <c r="I16" s="106">
        <f>SUM(I15:I15)</f>
        <v>1.2467495599999998</v>
      </c>
      <c r="J16" s="24"/>
      <c r="K16" s="24"/>
      <c r="L16" s="24"/>
      <c r="M16" s="24"/>
      <c r="N16" s="24"/>
      <c r="O16" s="62"/>
    </row>
    <row r="17" spans="1:15" ht="15.75" thickBot="1" x14ac:dyDescent="0.3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SU_A0200" display="Lower Front A-arm" xr:uid="{00000000-0004-0000-1B00-000000000000}"/>
    <hyperlink ref="G2" location="SU_A0200_BOM" display="Back to BOM" xr:uid="{00000000-0004-0000-1B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>
    <tabColor rgb="FFFFFF66"/>
    <pageSetUpPr fitToPage="1"/>
  </sheetPr>
  <dimension ref="A1:O17"/>
  <sheetViews>
    <sheetView zoomScale="85" zoomScaleNormal="85" zoomScalePageLayoutView="70" workbookViewId="0">
      <selection activeCell="E2" sqref="E2"/>
    </sheetView>
  </sheetViews>
  <sheetFormatPr baseColWidth="10" defaultRowHeight="15" x14ac:dyDescent="0.25"/>
  <cols>
    <col min="2" max="2" width="33.85546875" customWidth="1"/>
    <col min="3" max="3" width="46.7109375" customWidth="1"/>
    <col min="5" max="5" width="18.28515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N12+I16</f>
        <v>10.001779199999998</v>
      </c>
      <c r="O2" s="62"/>
    </row>
    <row r="3" spans="1:15" x14ac:dyDescent="0.25">
      <c r="A3" s="99" t="s">
        <v>3</v>
      </c>
      <c r="B3" s="16" t="str">
        <f>'SU A0200'!B3</f>
        <v>Suspension &amp; Shocks</v>
      </c>
      <c r="C3" s="56"/>
      <c r="D3" s="99" t="s">
        <v>6</v>
      </c>
      <c r="E3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5" x14ac:dyDescent="0.25">
      <c r="A4" s="99" t="s">
        <v>5</v>
      </c>
      <c r="B4" s="87" t="s">
        <v>105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25">
      <c r="A5" s="99" t="s">
        <v>15</v>
      </c>
      <c r="B5" s="73" t="s">
        <v>111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10.001779199999998</v>
      </c>
      <c r="O5" s="62"/>
    </row>
    <row r="6" spans="1:15" x14ac:dyDescent="0.25">
      <c r="A6" s="99" t="s">
        <v>7</v>
      </c>
      <c r="B6" s="28" t="s">
        <v>112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25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x14ac:dyDescent="0.25">
      <c r="A11" s="85">
        <v>10</v>
      </c>
      <c r="B11" s="141" t="s">
        <v>117</v>
      </c>
      <c r="C11" s="142" t="s">
        <v>118</v>
      </c>
      <c r="D11" s="145">
        <f>200*E11*L11</f>
        <v>8.8904703999999981</v>
      </c>
      <c r="E11" s="144">
        <f>J11*K11</f>
        <v>2.8134399999999996E-5</v>
      </c>
      <c r="F11" s="20" t="s">
        <v>119</v>
      </c>
      <c r="G11" s="20"/>
      <c r="H11" s="19"/>
      <c r="I11" s="21" t="s">
        <v>96</v>
      </c>
      <c r="J11" s="247">
        <f>3.14*(0.008*0.008-0.006*0.006)</f>
        <v>8.7919999999999985E-5</v>
      </c>
      <c r="K11" s="247">
        <f>320/1000</f>
        <v>0.32</v>
      </c>
      <c r="L11" s="79">
        <v>1580</v>
      </c>
      <c r="M11" s="143">
        <v>1</v>
      </c>
      <c r="N11" s="30">
        <f>D11*M11</f>
        <v>8.8904703999999981</v>
      </c>
      <c r="O11" s="66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8.8904703999999981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5" x14ac:dyDescent="0.25">
      <c r="A15" s="141">
        <v>10</v>
      </c>
      <c r="B15" s="141" t="s">
        <v>139</v>
      </c>
      <c r="C15" s="141" t="s">
        <v>140</v>
      </c>
      <c r="D15" s="217">
        <v>25</v>
      </c>
      <c r="E15" s="216" t="s">
        <v>141</v>
      </c>
      <c r="F15" s="219">
        <f>J11*K11*L11</f>
        <v>4.4452351999999994E-2</v>
      </c>
      <c r="G15" s="215"/>
      <c r="H15" s="215"/>
      <c r="I15" s="218">
        <f>IF(H15="",D15*F15,D15*F15*H15)</f>
        <v>1.1113087999999998</v>
      </c>
      <c r="J15" s="58"/>
      <c r="K15" s="58"/>
      <c r="L15" s="58"/>
      <c r="M15" s="58"/>
      <c r="N15" s="58"/>
      <c r="O15" s="68"/>
    </row>
    <row r="16" spans="1:15" x14ac:dyDescent="0.25">
      <c r="A16" s="67"/>
      <c r="B16" s="24"/>
      <c r="C16" s="24"/>
      <c r="D16" s="24"/>
      <c r="E16" s="24"/>
      <c r="F16" s="24"/>
      <c r="G16" s="24"/>
      <c r="H16" s="108" t="s">
        <v>18</v>
      </c>
      <c r="I16" s="106">
        <f>SUM(I15:I15)</f>
        <v>1.1113087999999998</v>
      </c>
      <c r="J16" s="24"/>
      <c r="K16" s="24"/>
      <c r="L16" s="24"/>
      <c r="M16" s="24"/>
      <c r="N16" s="24"/>
      <c r="O16" s="62"/>
    </row>
    <row r="17" spans="1:15" ht="15.75" thickBot="1" x14ac:dyDescent="0.3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SU_A0200" display="Lower Front A-arm" xr:uid="{00000000-0004-0000-1C00-000000000000}"/>
    <hyperlink ref="G2" location="SU_A0200_BOM" display="Back to BOM" xr:uid="{00000000-0004-0000-1C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0" fitToHeight="99" orientation="landscape" r:id="rId1"/>
  <headerFooter>
    <oddFooter>Page &amp;P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FF66"/>
    <pageSetUpPr fitToPage="1"/>
  </sheetPr>
  <dimension ref="A1:S27"/>
  <sheetViews>
    <sheetView zoomScale="70" zoomScaleNormal="7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24.42578125" customWidth="1"/>
    <col min="3" max="3" width="24.5703125" customWidth="1"/>
    <col min="9" max="9" width="11" customWidth="1"/>
    <col min="10" max="11" width="10" bestFit="1" customWidth="1"/>
    <col min="15" max="15" width="3.140625" customWidth="1"/>
    <col min="18" max="19" width="16.28515625" bestFit="1" customWidth="1"/>
  </cols>
  <sheetData>
    <row r="1" spans="1:19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SU_01001_m+SU_01001_p</f>
        <v>15.090551905600002</v>
      </c>
      <c r="O2" s="62"/>
    </row>
    <row r="3" spans="1:19" x14ac:dyDescent="0.25">
      <c r="A3" s="99" t="s">
        <v>3</v>
      </c>
      <c r="B3" s="16" t="str">
        <f>'SU A0100'!B3</f>
        <v>Suspension &amp; Shocks</v>
      </c>
      <c r="C3" s="56"/>
      <c r="D3" s="99" t="s">
        <v>6</v>
      </c>
      <c r="E3" s="8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9" x14ac:dyDescent="0.25">
      <c r="A4" s="99" t="s">
        <v>5</v>
      </c>
      <c r="B4" s="87" t="str">
        <f>'SU A0100'!B4</f>
        <v>Upper Front A-arm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9" x14ac:dyDescent="0.25">
      <c r="A5" s="99" t="s">
        <v>15</v>
      </c>
      <c r="B5" s="18" t="s">
        <v>89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15.090551905600002</v>
      </c>
      <c r="O5" s="62"/>
    </row>
    <row r="6" spans="1:19" x14ac:dyDescent="0.25">
      <c r="A6" s="99" t="s">
        <v>7</v>
      </c>
      <c r="B6" s="28" t="s">
        <v>102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9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9" s="22" customFormat="1" x14ac:dyDescent="0.25">
      <c r="A11" s="85">
        <v>10</v>
      </c>
      <c r="B11" s="26" t="s">
        <v>66</v>
      </c>
      <c r="C11" s="20" t="s">
        <v>38</v>
      </c>
      <c r="D11" s="30">
        <f>4.2</f>
        <v>4.2</v>
      </c>
      <c r="E11" s="20"/>
      <c r="F11" s="20"/>
      <c r="G11" s="20"/>
      <c r="H11" s="19"/>
      <c r="I11" s="21" t="s">
        <v>67</v>
      </c>
      <c r="J11" s="247">
        <f>69*73/1000000</f>
        <v>5.0369999999999998E-3</v>
      </c>
      <c r="K11" s="247">
        <v>4.7E-2</v>
      </c>
      <c r="L11" s="79">
        <v>2712</v>
      </c>
      <c r="M11" s="23">
        <v>1</v>
      </c>
      <c r="N11" s="30">
        <f>D11*M11*L11*K11*J11</f>
        <v>2.6965519055999998</v>
      </c>
      <c r="O11" s="66"/>
    </row>
    <row r="12" spans="1:19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2.6965519055999998</v>
      </c>
      <c r="O12" s="62"/>
    </row>
    <row r="13" spans="1:19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S13" s="131"/>
    </row>
    <row r="14" spans="1:19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  <c r="R14" s="131"/>
    </row>
    <row r="15" spans="1:19" s="25" customFormat="1" ht="28.9" customHeight="1" x14ac:dyDescent="0.25">
      <c r="A15" s="248">
        <v>10</v>
      </c>
      <c r="B15" s="249" t="s">
        <v>39</v>
      </c>
      <c r="C15" s="248"/>
      <c r="D15" s="250">
        <v>1.3</v>
      </c>
      <c r="E15" s="249" t="s">
        <v>32</v>
      </c>
      <c r="F15" s="255">
        <v>1</v>
      </c>
      <c r="G15" s="31"/>
      <c r="H15" s="31"/>
      <c r="I15" s="32">
        <f t="shared" ref="I15:I25" si="0">IF(H15="",D15*F15,D15*F15*H15)</f>
        <v>1.3</v>
      </c>
      <c r="J15" s="58"/>
      <c r="K15" s="58"/>
      <c r="L15" s="58"/>
      <c r="M15" s="58"/>
      <c r="N15" s="58"/>
      <c r="O15" s="68"/>
    </row>
    <row r="16" spans="1:19" ht="44.45" customHeight="1" x14ac:dyDescent="0.25">
      <c r="A16" s="251">
        <v>20</v>
      </c>
      <c r="B16" s="249" t="s">
        <v>92</v>
      </c>
      <c r="C16" s="252" t="s">
        <v>185</v>
      </c>
      <c r="D16" s="253">
        <v>0.04</v>
      </c>
      <c r="E16" s="251" t="s">
        <v>93</v>
      </c>
      <c r="F16" s="254">
        <v>153</v>
      </c>
      <c r="G16" s="27"/>
      <c r="H16" s="26"/>
      <c r="I16" s="32">
        <f t="shared" si="0"/>
        <v>6.12</v>
      </c>
      <c r="J16" s="56"/>
      <c r="K16" s="56"/>
      <c r="L16" s="56"/>
      <c r="M16" s="56"/>
      <c r="N16" s="56"/>
      <c r="O16" s="62"/>
      <c r="R16" s="131"/>
    </row>
    <row r="17" spans="1:18" s="17" customFormat="1" ht="15" customHeight="1" x14ac:dyDescent="0.25">
      <c r="A17" s="248">
        <v>30</v>
      </c>
      <c r="B17" s="249" t="s">
        <v>91</v>
      </c>
      <c r="C17" s="248"/>
      <c r="D17" s="250">
        <v>0.65</v>
      </c>
      <c r="E17" s="249" t="s">
        <v>32</v>
      </c>
      <c r="F17" s="255">
        <v>1</v>
      </c>
      <c r="G17" s="26"/>
      <c r="H17" s="26"/>
      <c r="I17" s="32">
        <f t="shared" si="0"/>
        <v>0.65</v>
      </c>
      <c r="J17" s="57"/>
      <c r="K17" s="57"/>
      <c r="L17" s="57"/>
      <c r="M17" s="57"/>
      <c r="N17" s="57"/>
      <c r="O17" s="65"/>
      <c r="R17" s="132"/>
    </row>
    <row r="18" spans="1:18" ht="18.600000000000001" customHeight="1" x14ac:dyDescent="0.25">
      <c r="A18" s="251">
        <v>40</v>
      </c>
      <c r="B18" s="249" t="s">
        <v>92</v>
      </c>
      <c r="C18" s="252" t="s">
        <v>186</v>
      </c>
      <c r="D18" s="253">
        <v>0.04</v>
      </c>
      <c r="E18" s="251" t="s">
        <v>93</v>
      </c>
      <c r="F18" s="254">
        <v>2.2999999999999998</v>
      </c>
      <c r="G18" s="27"/>
      <c r="H18" s="26"/>
      <c r="I18" s="32">
        <f t="shared" si="0"/>
        <v>9.1999999999999998E-2</v>
      </c>
      <c r="J18" s="56"/>
      <c r="K18" s="56"/>
      <c r="L18" s="56"/>
      <c r="M18" s="56"/>
      <c r="N18" s="56"/>
      <c r="O18" s="62"/>
      <c r="R18" s="131"/>
    </row>
    <row r="19" spans="1:18" ht="29.45" customHeight="1" x14ac:dyDescent="0.25">
      <c r="A19" s="248">
        <v>50</v>
      </c>
      <c r="B19" s="249" t="s">
        <v>91</v>
      </c>
      <c r="C19" s="248"/>
      <c r="D19" s="250">
        <v>0.65</v>
      </c>
      <c r="E19" s="249" t="s">
        <v>32</v>
      </c>
      <c r="F19" s="255">
        <v>1</v>
      </c>
      <c r="G19" s="26"/>
      <c r="H19" s="26"/>
      <c r="I19" s="32">
        <f t="shared" si="0"/>
        <v>0.65</v>
      </c>
      <c r="J19" s="56"/>
      <c r="K19" s="56"/>
      <c r="L19" s="56"/>
      <c r="M19" s="56"/>
      <c r="N19" s="56"/>
      <c r="O19" s="62"/>
      <c r="R19" s="131"/>
    </row>
    <row r="20" spans="1:18" ht="29.45" customHeight="1" x14ac:dyDescent="0.25">
      <c r="A20" s="251">
        <v>60</v>
      </c>
      <c r="B20" s="249" t="s">
        <v>92</v>
      </c>
      <c r="C20" s="252" t="s">
        <v>187</v>
      </c>
      <c r="D20" s="253">
        <v>0.04</v>
      </c>
      <c r="E20" s="251" t="s">
        <v>93</v>
      </c>
      <c r="F20" s="254">
        <v>2.2999999999999998</v>
      </c>
      <c r="G20" s="26"/>
      <c r="H20" s="26"/>
      <c r="I20" s="32">
        <f t="shared" si="0"/>
        <v>9.1999999999999998E-2</v>
      </c>
      <c r="J20" s="56"/>
      <c r="K20" s="56"/>
      <c r="L20" s="56"/>
      <c r="M20" s="56"/>
      <c r="N20" s="56"/>
      <c r="O20" s="62"/>
      <c r="R20" s="131"/>
    </row>
    <row r="21" spans="1:18" ht="14.45" customHeight="1" x14ac:dyDescent="0.25">
      <c r="A21" s="248">
        <v>70</v>
      </c>
      <c r="B21" s="249" t="s">
        <v>91</v>
      </c>
      <c r="C21" s="248"/>
      <c r="D21" s="250">
        <v>0.65</v>
      </c>
      <c r="E21" s="249" t="s">
        <v>32</v>
      </c>
      <c r="F21" s="255">
        <v>1</v>
      </c>
      <c r="G21" s="26"/>
      <c r="H21" s="26"/>
      <c r="I21" s="32">
        <f t="shared" si="0"/>
        <v>0.65</v>
      </c>
      <c r="J21" s="56"/>
      <c r="K21" s="56"/>
      <c r="L21" s="56"/>
      <c r="M21" s="56"/>
      <c r="N21" s="56"/>
      <c r="O21" s="62"/>
      <c r="R21" s="131"/>
    </row>
    <row r="22" spans="1:18" ht="29.45" customHeight="1" x14ac:dyDescent="0.25">
      <c r="A22" s="251">
        <v>80</v>
      </c>
      <c r="B22" s="249" t="s">
        <v>92</v>
      </c>
      <c r="C22" s="252" t="s">
        <v>188</v>
      </c>
      <c r="D22" s="253">
        <v>0.04</v>
      </c>
      <c r="E22" s="251" t="s">
        <v>93</v>
      </c>
      <c r="F22" s="254">
        <v>4</v>
      </c>
      <c r="G22" s="26"/>
      <c r="H22" s="26"/>
      <c r="I22" s="32">
        <f t="shared" si="0"/>
        <v>0.16</v>
      </c>
      <c r="J22" s="56"/>
      <c r="K22" s="56"/>
      <c r="L22" s="56"/>
      <c r="M22" s="56"/>
      <c r="N22" s="56"/>
      <c r="O22" s="62"/>
      <c r="R22" s="131"/>
    </row>
    <row r="23" spans="1:18" ht="16.899999999999999" customHeight="1" x14ac:dyDescent="0.25">
      <c r="A23" s="248">
        <v>90</v>
      </c>
      <c r="B23" s="249" t="s">
        <v>91</v>
      </c>
      <c r="C23" s="248"/>
      <c r="D23" s="250">
        <v>0.65</v>
      </c>
      <c r="E23" s="249" t="s">
        <v>32</v>
      </c>
      <c r="F23" s="255">
        <v>1</v>
      </c>
      <c r="G23" s="26"/>
      <c r="H23" s="26"/>
      <c r="I23" s="32">
        <f t="shared" si="0"/>
        <v>0.65</v>
      </c>
      <c r="J23" s="56"/>
      <c r="K23" s="56"/>
      <c r="L23" s="56"/>
      <c r="M23" s="56"/>
      <c r="N23" s="56"/>
      <c r="O23" s="62"/>
      <c r="R23" s="131"/>
    </row>
    <row r="24" spans="1:18" ht="28.9" customHeight="1" x14ac:dyDescent="0.25">
      <c r="A24" s="251">
        <v>100</v>
      </c>
      <c r="B24" s="249" t="s">
        <v>92</v>
      </c>
      <c r="C24" s="252" t="s">
        <v>189</v>
      </c>
      <c r="D24" s="253">
        <v>0.04</v>
      </c>
      <c r="E24" s="251" t="s">
        <v>93</v>
      </c>
      <c r="F24" s="254">
        <v>42</v>
      </c>
      <c r="G24" s="26"/>
      <c r="H24" s="26"/>
      <c r="I24" s="32">
        <f t="shared" si="0"/>
        <v>1.68</v>
      </c>
      <c r="J24" s="56"/>
      <c r="K24" s="56"/>
      <c r="L24" s="56"/>
      <c r="M24" s="56"/>
      <c r="N24" s="56"/>
      <c r="O24" s="62"/>
      <c r="R24" s="131"/>
    </row>
    <row r="25" spans="1:18" ht="28.9" customHeight="1" x14ac:dyDescent="0.25">
      <c r="A25" s="248">
        <v>110</v>
      </c>
      <c r="B25" s="249" t="s">
        <v>190</v>
      </c>
      <c r="C25" s="252" t="s">
        <v>191</v>
      </c>
      <c r="D25" s="253">
        <v>0.35</v>
      </c>
      <c r="E25" s="251"/>
      <c r="F25" s="254">
        <v>1</v>
      </c>
      <c r="G25" s="26"/>
      <c r="H25" s="26"/>
      <c r="I25" s="32">
        <f t="shared" si="0"/>
        <v>0.35</v>
      </c>
      <c r="J25" s="56"/>
      <c r="K25" s="56"/>
      <c r="L25" s="56"/>
      <c r="M25" s="56"/>
      <c r="N25" s="56"/>
      <c r="O25" s="62"/>
    </row>
    <row r="26" spans="1:18" x14ac:dyDescent="0.25">
      <c r="A26" s="67"/>
      <c r="B26" s="24"/>
      <c r="C26" s="24"/>
      <c r="D26" s="24"/>
      <c r="E26" s="24"/>
      <c r="F26" s="24"/>
      <c r="G26" s="24"/>
      <c r="H26" s="108" t="s">
        <v>18</v>
      </c>
      <c r="I26" s="106">
        <f>SUM(I15:I25)</f>
        <v>12.394000000000002</v>
      </c>
      <c r="J26" s="24"/>
      <c r="K26" s="24"/>
      <c r="L26" s="24"/>
      <c r="M26" s="24"/>
      <c r="N26" s="24"/>
      <c r="O26" s="62"/>
    </row>
    <row r="27" spans="1:18" ht="15.75" thickBot="1" x14ac:dyDescent="0.3">
      <c r="A27" s="69"/>
      <c r="B27" s="70"/>
      <c r="C27" s="70"/>
      <c r="D27" s="70"/>
      <c r="E27" s="70"/>
      <c r="F27" s="70"/>
      <c r="G27" s="70"/>
      <c r="H27" s="70"/>
      <c r="I27" s="70"/>
      <c r="J27" s="70"/>
      <c r="K27" s="70"/>
      <c r="L27" s="70"/>
      <c r="M27" s="70"/>
      <c r="N27" s="70"/>
      <c r="O27" s="71"/>
    </row>
  </sheetData>
  <hyperlinks>
    <hyperlink ref="B4" location="'SU A0100'!A1" display="'SU A0100'!A1" xr:uid="{00000000-0004-0000-0200-000000000000}"/>
    <hyperlink ref="E3" location="dSU_01001" display="Drawing" xr:uid="{00000000-0004-0000-0200-000001000000}"/>
    <hyperlink ref="G2" location="SU_A0100_BOM" display="Back to BOM" xr:uid="{00000000-0004-0000-02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6" firstPageNumber="0" fitToHeight="99" orientation="landscape" r:id="rId1"/>
  <headerFooter>
    <oddFooter>Page &amp;P</oddFooter>
  </headerFooter>
  <rowBreaks count="2" manualBreakCount="2">
    <brk id="27" max="16383" man="1"/>
    <brk id="61" max="16383" man="1"/>
  </rowBreaks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sheetPr>
    <tabColor rgb="FFFFFF66"/>
    <pageSetUpPr fitToPage="1"/>
  </sheetPr>
  <dimension ref="A1:Q18"/>
  <sheetViews>
    <sheetView zoomScale="90" zoomScaleNormal="90" zoomScalePageLayoutView="70" workbookViewId="0">
      <selection activeCell="E2" sqref="E2"/>
    </sheetView>
  </sheetViews>
  <sheetFormatPr baseColWidth="10" defaultRowHeight="15" x14ac:dyDescent="0.25"/>
  <cols>
    <col min="2" max="2" width="25.140625" customWidth="1"/>
    <col min="3" max="3" width="30.5703125" customWidth="1"/>
    <col min="9" max="9" width="14" customWidth="1"/>
    <col min="17" max="17" width="12.85546875" bestFit="1" customWidth="1"/>
  </cols>
  <sheetData>
    <row r="1" spans="1:17" x14ac:dyDescent="0.25">
      <c r="A1" s="521"/>
      <c r="B1" s="522"/>
      <c r="C1" s="522"/>
      <c r="D1" s="522"/>
      <c r="E1" s="522"/>
      <c r="F1" s="522"/>
      <c r="G1" s="522"/>
      <c r="H1" s="522"/>
      <c r="I1" s="522"/>
      <c r="J1" s="522"/>
      <c r="K1" s="522"/>
      <c r="L1" s="522"/>
      <c r="M1" s="522"/>
      <c r="N1" s="522"/>
      <c r="O1" s="523"/>
    </row>
    <row r="2" spans="1:17" x14ac:dyDescent="0.25">
      <c r="A2" s="421" t="s">
        <v>0</v>
      </c>
      <c r="B2" s="420" t="s">
        <v>37</v>
      </c>
      <c r="C2" s="453"/>
      <c r="D2" s="453"/>
      <c r="E2" s="453"/>
      <c r="F2" s="453"/>
      <c r="G2" s="423" t="s">
        <v>62</v>
      </c>
      <c r="H2" s="453"/>
      <c r="I2" s="453"/>
      <c r="J2" s="524" t="s">
        <v>1</v>
      </c>
      <c r="K2" s="525">
        <v>81</v>
      </c>
      <c r="L2" s="453"/>
      <c r="M2" s="421" t="s">
        <v>16</v>
      </c>
      <c r="N2" s="526">
        <f>N12+I17</f>
        <v>0.90817037600000006</v>
      </c>
      <c r="O2" s="527"/>
    </row>
    <row r="3" spans="1:17" x14ac:dyDescent="0.25">
      <c r="A3" s="421" t="s">
        <v>3</v>
      </c>
      <c r="B3" s="420" t="str">
        <f>'SU A0200'!B3</f>
        <v>Suspension &amp; Shocks</v>
      </c>
      <c r="C3" s="453"/>
      <c r="D3" s="421" t="s">
        <v>6</v>
      </c>
      <c r="E3" s="528" t="s">
        <v>60</v>
      </c>
      <c r="F3" s="453"/>
      <c r="G3" s="453"/>
      <c r="H3" s="453"/>
      <c r="I3" s="453"/>
      <c r="J3" s="453"/>
      <c r="K3" s="453"/>
      <c r="L3" s="453"/>
      <c r="M3" s="421" t="s">
        <v>4</v>
      </c>
      <c r="N3" s="529">
        <v>2</v>
      </c>
      <c r="O3" s="527"/>
    </row>
    <row r="4" spans="1:17" x14ac:dyDescent="0.25">
      <c r="A4" s="421" t="s">
        <v>5</v>
      </c>
      <c r="B4" s="423" t="s">
        <v>105</v>
      </c>
      <c r="C4" s="453"/>
      <c r="D4" s="421" t="s">
        <v>8</v>
      </c>
      <c r="E4" s="453"/>
      <c r="F4" s="453"/>
      <c r="G4" s="453"/>
      <c r="H4" s="453"/>
      <c r="I4" s="453"/>
      <c r="J4" s="530" t="s">
        <v>6</v>
      </c>
      <c r="K4" s="453"/>
      <c r="L4" s="453"/>
      <c r="M4" s="453"/>
      <c r="N4" s="453"/>
      <c r="O4" s="527"/>
    </row>
    <row r="5" spans="1:17" x14ac:dyDescent="0.25">
      <c r="A5" s="421" t="s">
        <v>15</v>
      </c>
      <c r="B5" s="531" t="s">
        <v>122</v>
      </c>
      <c r="C5" s="453"/>
      <c r="D5" s="421" t="s">
        <v>12</v>
      </c>
      <c r="E5" s="453"/>
      <c r="F5" s="453"/>
      <c r="G5" s="453"/>
      <c r="H5" s="453"/>
      <c r="I5" s="453"/>
      <c r="J5" s="530" t="s">
        <v>8</v>
      </c>
      <c r="K5" s="453"/>
      <c r="L5" s="453"/>
      <c r="M5" s="421" t="s">
        <v>9</v>
      </c>
      <c r="N5" s="526">
        <f>N3*N2</f>
        <v>1.8163407520000001</v>
      </c>
      <c r="O5" s="527"/>
    </row>
    <row r="6" spans="1:17" x14ac:dyDescent="0.25">
      <c r="A6" s="421" t="s">
        <v>7</v>
      </c>
      <c r="B6" s="425" t="s">
        <v>113</v>
      </c>
      <c r="C6" s="453"/>
      <c r="D6" s="453"/>
      <c r="E6" s="453"/>
      <c r="F6" s="453"/>
      <c r="G6" s="453"/>
      <c r="H6" s="453"/>
      <c r="I6" s="453"/>
      <c r="J6" s="530" t="s">
        <v>12</v>
      </c>
      <c r="K6" s="453"/>
      <c r="L6" s="453"/>
      <c r="M6" s="453"/>
      <c r="N6" s="453"/>
      <c r="O6" s="527"/>
    </row>
    <row r="7" spans="1:17" x14ac:dyDescent="0.25">
      <c r="A7" s="421" t="s">
        <v>10</v>
      </c>
      <c r="B7" s="420"/>
      <c r="C7" s="453"/>
      <c r="D7" s="453"/>
      <c r="E7" s="453"/>
      <c r="F7" s="453"/>
      <c r="G7" s="453"/>
      <c r="H7" s="453"/>
      <c r="I7" s="453"/>
      <c r="J7" s="453"/>
      <c r="K7" s="453"/>
      <c r="L7" s="453"/>
      <c r="M7" s="453"/>
      <c r="N7" s="453"/>
      <c r="O7" s="527"/>
    </row>
    <row r="8" spans="1:17" x14ac:dyDescent="0.25">
      <c r="A8" s="421" t="s">
        <v>13</v>
      </c>
      <c r="B8" s="420"/>
      <c r="C8" s="453"/>
      <c r="D8" s="453"/>
      <c r="E8" s="453"/>
      <c r="F8" s="453"/>
      <c r="G8" s="453"/>
      <c r="H8" s="453"/>
      <c r="I8" s="453"/>
      <c r="J8" s="453"/>
      <c r="K8" s="453"/>
      <c r="L8" s="453"/>
      <c r="M8" s="453"/>
      <c r="N8" s="453"/>
      <c r="O8" s="527"/>
    </row>
    <row r="9" spans="1:17" x14ac:dyDescent="0.25">
      <c r="A9" s="532"/>
      <c r="B9" s="533"/>
      <c r="C9" s="533"/>
      <c r="D9" s="533"/>
      <c r="E9" s="533"/>
      <c r="F9" s="453"/>
      <c r="G9" s="453"/>
      <c r="H9" s="453"/>
      <c r="I9" s="453"/>
      <c r="J9" s="453"/>
      <c r="K9" s="453"/>
      <c r="L9" s="453"/>
      <c r="M9" s="453"/>
      <c r="N9" s="453"/>
      <c r="O9" s="527"/>
    </row>
    <row r="10" spans="1:17" x14ac:dyDescent="0.25">
      <c r="A10" s="534" t="s">
        <v>14</v>
      </c>
      <c r="B10" s="535" t="s">
        <v>19</v>
      </c>
      <c r="C10" s="535" t="s">
        <v>20</v>
      </c>
      <c r="D10" s="535" t="s">
        <v>21</v>
      </c>
      <c r="E10" s="535" t="s">
        <v>22</v>
      </c>
      <c r="F10" s="536" t="s">
        <v>23</v>
      </c>
      <c r="G10" s="536" t="s">
        <v>24</v>
      </c>
      <c r="H10" s="536" t="s">
        <v>25</v>
      </c>
      <c r="I10" s="536" t="s">
        <v>26</v>
      </c>
      <c r="J10" s="536" t="s">
        <v>27</v>
      </c>
      <c r="K10" s="536" t="s">
        <v>28</v>
      </c>
      <c r="L10" s="536" t="s">
        <v>29</v>
      </c>
      <c r="M10" s="536" t="s">
        <v>17</v>
      </c>
      <c r="N10" s="536" t="s">
        <v>18</v>
      </c>
      <c r="O10" s="527"/>
    </row>
    <row r="11" spans="1:17" x14ac:dyDescent="0.25">
      <c r="A11" s="537">
        <v>10</v>
      </c>
      <c r="B11" s="538" t="s">
        <v>98</v>
      </c>
      <c r="C11" s="539" t="s">
        <v>38</v>
      </c>
      <c r="D11" s="540">
        <v>2.25</v>
      </c>
      <c r="E11" s="541">
        <f>J11*K11*L11</f>
        <v>1.3409056000000001E-2</v>
      </c>
      <c r="F11" s="539" t="s">
        <v>94</v>
      </c>
      <c r="G11" s="539"/>
      <c r="H11" s="542"/>
      <c r="I11" s="543" t="s">
        <v>97</v>
      </c>
      <c r="J11" s="1172">
        <f>3.14*8*8/1000000</f>
        <v>2.0096E-4</v>
      </c>
      <c r="K11" s="1172">
        <f>8.5/1000</f>
        <v>8.5000000000000006E-3</v>
      </c>
      <c r="L11" s="544">
        <v>7850</v>
      </c>
      <c r="M11" s="545">
        <v>1</v>
      </c>
      <c r="N11" s="540">
        <f>D11*E11</f>
        <v>3.0170376000000002E-2</v>
      </c>
      <c r="O11" s="546"/>
      <c r="Q11" s="131"/>
    </row>
    <row r="12" spans="1:17" x14ac:dyDescent="0.25">
      <c r="A12" s="547"/>
      <c r="B12" s="548"/>
      <c r="C12" s="548"/>
      <c r="D12" s="548"/>
      <c r="E12" s="548"/>
      <c r="F12" s="548"/>
      <c r="G12" s="548"/>
      <c r="H12" s="548"/>
      <c r="I12" s="548"/>
      <c r="J12" s="548"/>
      <c r="K12" s="548"/>
      <c r="L12" s="548"/>
      <c r="M12" s="549" t="s">
        <v>18</v>
      </c>
      <c r="N12" s="550">
        <f>SUM(N11:N11)</f>
        <v>3.0170376000000002E-2</v>
      </c>
      <c r="O12" s="527"/>
    </row>
    <row r="13" spans="1:17" x14ac:dyDescent="0.25">
      <c r="A13" s="551"/>
      <c r="B13" s="453"/>
      <c r="C13" s="453"/>
      <c r="D13" s="453"/>
      <c r="E13" s="453"/>
      <c r="F13" s="453"/>
      <c r="G13" s="453"/>
      <c r="H13" s="453"/>
      <c r="I13" s="453"/>
      <c r="J13" s="453"/>
      <c r="K13" s="453"/>
      <c r="L13" s="453"/>
      <c r="M13" s="453"/>
      <c r="N13" s="453"/>
      <c r="O13" s="527"/>
    </row>
    <row r="14" spans="1:17" x14ac:dyDescent="0.25">
      <c r="A14" s="552" t="s">
        <v>14</v>
      </c>
      <c r="B14" s="536" t="s">
        <v>31</v>
      </c>
      <c r="C14" s="536" t="s">
        <v>20</v>
      </c>
      <c r="D14" s="536" t="s">
        <v>21</v>
      </c>
      <c r="E14" s="536" t="s">
        <v>32</v>
      </c>
      <c r="F14" s="536" t="s">
        <v>17</v>
      </c>
      <c r="G14" s="536" t="s">
        <v>33</v>
      </c>
      <c r="H14" s="536" t="s">
        <v>34</v>
      </c>
      <c r="I14" s="536" t="s">
        <v>18</v>
      </c>
      <c r="J14" s="548"/>
      <c r="K14" s="548"/>
      <c r="L14" s="548"/>
      <c r="M14" s="548"/>
      <c r="N14" s="548"/>
      <c r="O14" s="527"/>
    </row>
    <row r="15" spans="1:17" ht="31.15" customHeight="1" x14ac:dyDescent="0.25">
      <c r="A15" s="327">
        <v>10</v>
      </c>
      <c r="B15" s="327" t="s">
        <v>39</v>
      </c>
      <c r="C15" s="327" t="s">
        <v>68</v>
      </c>
      <c r="D15" s="332">
        <v>1.3</v>
      </c>
      <c r="E15" s="327" t="s">
        <v>32</v>
      </c>
      <c r="F15" s="231">
        <v>1</v>
      </c>
      <c r="G15" s="326" t="s">
        <v>221</v>
      </c>
      <c r="H15" s="326">
        <v>0.5</v>
      </c>
      <c r="I15" s="334">
        <f>IF(H15="",D15*F15,D15*F15*H15)</f>
        <v>0.65</v>
      </c>
      <c r="J15" s="376"/>
      <c r="K15" s="376"/>
      <c r="L15" s="376"/>
      <c r="M15" s="376"/>
      <c r="N15" s="376"/>
      <c r="O15" s="377"/>
    </row>
    <row r="16" spans="1:17" x14ac:dyDescent="0.25">
      <c r="A16" s="385">
        <v>20</v>
      </c>
      <c r="B16" s="385" t="s">
        <v>92</v>
      </c>
      <c r="C16" s="385" t="s">
        <v>196</v>
      </c>
      <c r="D16" s="386">
        <v>0.04</v>
      </c>
      <c r="E16" s="385" t="s">
        <v>93</v>
      </c>
      <c r="F16" s="385">
        <v>1.9</v>
      </c>
      <c r="G16" s="385" t="s">
        <v>197</v>
      </c>
      <c r="H16" s="385">
        <v>3</v>
      </c>
      <c r="I16" s="334">
        <f>IF(H16="",D16*F16,D16*F16*H16)</f>
        <v>0.22799999999999998</v>
      </c>
      <c r="J16" s="340"/>
      <c r="K16" s="340"/>
      <c r="L16" s="340"/>
      <c r="M16" s="340"/>
      <c r="N16" s="340"/>
      <c r="O16" s="345"/>
    </row>
    <row r="17" spans="1:15" x14ac:dyDescent="0.25">
      <c r="A17" s="547"/>
      <c r="B17" s="548"/>
      <c r="C17" s="548"/>
      <c r="D17" s="548"/>
      <c r="E17" s="548"/>
      <c r="F17" s="548"/>
      <c r="G17" s="548"/>
      <c r="H17" s="553" t="s">
        <v>18</v>
      </c>
      <c r="I17" s="550">
        <f>SUM(I15:I16)</f>
        <v>0.878</v>
      </c>
      <c r="J17" s="548"/>
      <c r="K17" s="548"/>
      <c r="L17" s="548"/>
      <c r="M17" s="548"/>
      <c r="N17" s="548"/>
      <c r="O17" s="527"/>
    </row>
    <row r="18" spans="1:15" ht="15.75" thickBot="1" x14ac:dyDescent="0.3">
      <c r="A18" s="554"/>
      <c r="B18" s="555"/>
      <c r="C18" s="555"/>
      <c r="D18" s="555"/>
      <c r="E18" s="555"/>
      <c r="F18" s="555"/>
      <c r="G18" s="555"/>
      <c r="H18" s="555"/>
      <c r="I18" s="555"/>
      <c r="J18" s="555"/>
      <c r="K18" s="555"/>
      <c r="L18" s="555"/>
      <c r="M18" s="555"/>
      <c r="N18" s="555"/>
      <c r="O18" s="556"/>
    </row>
  </sheetData>
  <hyperlinks>
    <hyperlink ref="B4" location="SU_A0200" display="Lower Front A-arm" xr:uid="{00000000-0004-0000-1D00-000000000000}"/>
    <hyperlink ref="E3" location="dSU_02005" display="Drawing" xr:uid="{00000000-0004-0000-1D00-000001000000}"/>
    <hyperlink ref="G2" location="SU_A0200_BOM" display="Back to BOM" xr:uid="{00000000-0004-0000-1D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RowHeight="15" x14ac:dyDescent="0.25"/>
  <cols>
    <col min="1" max="1" width="22.5703125" customWidth="1"/>
  </cols>
  <sheetData>
    <row r="1" spans="1:2" x14ac:dyDescent="0.25">
      <c r="A1" t="s">
        <v>99</v>
      </c>
      <c r="B1" s="88" t="s">
        <v>113</v>
      </c>
    </row>
  </sheetData>
  <hyperlinks>
    <hyperlink ref="B1" location="SU_02005" display="SU_02005" xr:uid="{00000000-0004-0000-1E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sheetPr>
    <tabColor rgb="FFFFFF66"/>
    <pageSetUpPr fitToPage="1"/>
  </sheetPr>
  <dimension ref="A1:O18"/>
  <sheetViews>
    <sheetView zoomScale="90" zoomScaleNormal="90" zoomScalePageLayoutView="70" workbookViewId="0">
      <selection activeCell="E2" sqref="E2"/>
    </sheetView>
  </sheetViews>
  <sheetFormatPr baseColWidth="10" defaultRowHeight="15" x14ac:dyDescent="0.25"/>
  <cols>
    <col min="2" max="2" width="16.7109375" customWidth="1"/>
    <col min="3" max="3" width="22.42578125" customWidth="1"/>
    <col min="7" max="7" width="19.140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N12+I17</f>
        <v>0.32421353411764708</v>
      </c>
      <c r="O2" s="62"/>
    </row>
    <row r="3" spans="1:15" x14ac:dyDescent="0.25">
      <c r="A3" s="99" t="s">
        <v>3</v>
      </c>
      <c r="B3" s="16" t="str">
        <f>'SU A0200'!B3</f>
        <v>Suspension &amp; Shocks</v>
      </c>
      <c r="C3" s="56"/>
      <c r="D3" s="99" t="s">
        <v>6</v>
      </c>
      <c r="E3" s="8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4</v>
      </c>
      <c r="O3" s="62"/>
    </row>
    <row r="4" spans="1:15" x14ac:dyDescent="0.25">
      <c r="A4" s="99" t="s">
        <v>5</v>
      </c>
      <c r="B4" s="87" t="s">
        <v>105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25">
      <c r="A5" s="99" t="s">
        <v>15</v>
      </c>
      <c r="B5" s="18" t="s">
        <v>121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1.2968541364705883</v>
      </c>
      <c r="O5" s="62"/>
    </row>
    <row r="6" spans="1:15" x14ac:dyDescent="0.25">
      <c r="A6" s="99" t="s">
        <v>7</v>
      </c>
      <c r="B6" s="28" t="s">
        <v>114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25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ht="30" x14ac:dyDescent="0.25">
      <c r="A11" s="310">
        <v>10</v>
      </c>
      <c r="B11" s="509" t="s">
        <v>204</v>
      </c>
      <c r="C11" s="557"/>
      <c r="D11" s="558">
        <v>2.25</v>
      </c>
      <c r="E11" s="362">
        <f>J11*K11*L11</f>
        <v>6.3101440000000009E-2</v>
      </c>
      <c r="F11" s="360" t="s">
        <v>94</v>
      </c>
      <c r="G11" s="360"/>
      <c r="H11" s="361"/>
      <c r="I11" s="362" t="s">
        <v>97</v>
      </c>
      <c r="J11" s="363">
        <f>3.14*8*8/1000000</f>
        <v>2.0096E-4</v>
      </c>
      <c r="K11" s="387">
        <v>0.04</v>
      </c>
      <c r="L11" s="365">
        <v>7850</v>
      </c>
      <c r="M11" s="366">
        <v>1</v>
      </c>
      <c r="N11" s="367">
        <f>D11*E11*M11</f>
        <v>0.14197824000000003</v>
      </c>
      <c r="O11" s="368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0.14197824000000003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5" ht="48.6" customHeight="1" x14ac:dyDescent="0.25">
      <c r="A15" s="327">
        <v>10</v>
      </c>
      <c r="B15" s="327" t="s">
        <v>39</v>
      </c>
      <c r="C15" s="327" t="s">
        <v>68</v>
      </c>
      <c r="D15" s="332">
        <v>1.3</v>
      </c>
      <c r="E15" s="327" t="s">
        <v>32</v>
      </c>
      <c r="F15" s="231">
        <v>1</v>
      </c>
      <c r="G15" s="326" t="s">
        <v>551</v>
      </c>
      <c r="H15" s="1170">
        <v>2.9411764705882353E-2</v>
      </c>
      <c r="I15" s="334">
        <f>IF(H15="",D15*F15,D15*F15*H15)</f>
        <v>3.8235294117647062E-2</v>
      </c>
      <c r="J15" s="376"/>
      <c r="K15" s="376"/>
      <c r="L15" s="376"/>
      <c r="M15" s="376"/>
      <c r="N15" s="376"/>
      <c r="O15" s="377"/>
    </row>
    <row r="16" spans="1:15" x14ac:dyDescent="0.25">
      <c r="A16" s="385">
        <v>20</v>
      </c>
      <c r="B16" s="385" t="s">
        <v>92</v>
      </c>
      <c r="C16" s="385" t="s">
        <v>196</v>
      </c>
      <c r="D16" s="386">
        <v>0.04</v>
      </c>
      <c r="E16" s="385" t="s">
        <v>93</v>
      </c>
      <c r="F16" s="385">
        <v>1.2</v>
      </c>
      <c r="G16" s="385" t="s">
        <v>197</v>
      </c>
      <c r="H16" s="385">
        <v>3</v>
      </c>
      <c r="I16" s="334">
        <f>IF(H16="",D16*F16,D16*F16*H16)</f>
        <v>0.14400000000000002</v>
      </c>
      <c r="J16" s="340"/>
      <c r="K16" s="340"/>
      <c r="L16" s="340"/>
      <c r="M16" s="340"/>
      <c r="N16" s="340"/>
      <c r="O16" s="345"/>
    </row>
    <row r="17" spans="1:15" x14ac:dyDescent="0.25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0.18223529411764708</v>
      </c>
      <c r="J17" s="24"/>
      <c r="K17" s="24"/>
      <c r="L17" s="24"/>
      <c r="M17" s="24"/>
      <c r="N17" s="24"/>
      <c r="O17" s="62"/>
    </row>
    <row r="18" spans="1:15" ht="15.75" thickBot="1" x14ac:dyDescent="0.3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B4" location="SU_A0200" display="Lower Front A-arm" xr:uid="{00000000-0004-0000-1F00-000000000000}"/>
    <hyperlink ref="E3" location="dSU_02005" display="Drawing" xr:uid="{00000000-0004-0000-1F00-000001000000}"/>
    <hyperlink ref="G2" location="SU_A0200_BOM" display="Back to BOM" xr:uid="{00000000-0004-0000-1F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2" fitToHeight="99" orientation="landscape" r:id="rId1"/>
  <headerFooter>
    <oddFooter>Page &amp;P</oddFooter>
  </headerFooter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2.5703125" customWidth="1"/>
  </cols>
  <sheetData>
    <row r="1" spans="1:2" x14ac:dyDescent="0.25">
      <c r="A1" t="s">
        <v>124</v>
      </c>
      <c r="B1" s="88" t="str">
        <f>SU_02006</f>
        <v>SU_02006</v>
      </c>
    </row>
  </sheetData>
  <hyperlinks>
    <hyperlink ref="B1" location="SU_02006" display="SU_02006" xr:uid="{00000000-0004-0000-20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sheetPr>
    <tabColor rgb="FFFFFF66"/>
    <pageSetUpPr fitToPage="1"/>
  </sheetPr>
  <dimension ref="A1:Q17"/>
  <sheetViews>
    <sheetView zoomScale="90" zoomScaleNormal="90" zoomScalePageLayoutView="70" workbookViewId="0">
      <selection activeCell="E2" sqref="E2"/>
    </sheetView>
  </sheetViews>
  <sheetFormatPr baseColWidth="10" defaultRowHeight="15" x14ac:dyDescent="0.25"/>
  <cols>
    <col min="2" max="2" width="28.7109375" customWidth="1"/>
    <col min="3" max="3" width="24.28515625" customWidth="1"/>
    <col min="9" max="9" width="15.28515625" customWidth="1"/>
    <col min="17" max="17" width="12.85546875" bestFit="1" customWidth="1"/>
  </cols>
  <sheetData>
    <row r="1" spans="1:17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7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N12+I16</f>
        <v>0.47719727680000001</v>
      </c>
      <c r="O2" s="62"/>
    </row>
    <row r="3" spans="1:17" x14ac:dyDescent="0.25">
      <c r="A3" s="99" t="s">
        <v>3</v>
      </c>
      <c r="B3" s="16" t="str">
        <f>'SU A0200'!B3</f>
        <v>Suspension &amp; Shocks</v>
      </c>
      <c r="C3" s="56"/>
      <c r="D3" s="99" t="s">
        <v>6</v>
      </c>
      <c r="E3" s="8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7" x14ac:dyDescent="0.25">
      <c r="A4" s="99" t="s">
        <v>5</v>
      </c>
      <c r="B4" s="88" t="s">
        <v>105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7" x14ac:dyDescent="0.25">
      <c r="A5" s="99" t="s">
        <v>15</v>
      </c>
      <c r="B5" s="72" t="s">
        <v>69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0.95439455360000003</v>
      </c>
      <c r="O5" s="62"/>
    </row>
    <row r="6" spans="1:17" x14ac:dyDescent="0.25">
      <c r="A6" s="99" t="s">
        <v>7</v>
      </c>
      <c r="B6" s="28" t="s">
        <v>125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7" x14ac:dyDescent="0.25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7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7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7" x14ac:dyDescent="0.25">
      <c r="A10" s="353" t="s">
        <v>14</v>
      </c>
      <c r="B10" s="354" t="s">
        <v>19</v>
      </c>
      <c r="C10" s="354" t="s">
        <v>20</v>
      </c>
      <c r="D10" s="354" t="s">
        <v>21</v>
      </c>
      <c r="E10" s="354" t="s">
        <v>22</v>
      </c>
      <c r="F10" s="355" t="s">
        <v>23</v>
      </c>
      <c r="G10" s="355" t="s">
        <v>24</v>
      </c>
      <c r="H10" s="355" t="s">
        <v>25</v>
      </c>
      <c r="I10" s="355" t="s">
        <v>26</v>
      </c>
      <c r="J10" s="355" t="s">
        <v>27</v>
      </c>
      <c r="K10" s="355" t="s">
        <v>28</v>
      </c>
      <c r="L10" s="355" t="s">
        <v>29</v>
      </c>
      <c r="M10" s="355" t="s">
        <v>17</v>
      </c>
      <c r="N10" s="355" t="s">
        <v>18</v>
      </c>
      <c r="O10" s="345"/>
    </row>
    <row r="11" spans="1:17" s="180" customFormat="1" ht="28.9" customHeight="1" x14ac:dyDescent="0.25">
      <c r="A11" s="389">
        <v>10</v>
      </c>
      <c r="B11" s="390" t="s">
        <v>200</v>
      </c>
      <c r="C11" s="389" t="s">
        <v>201</v>
      </c>
      <c r="D11" s="391">
        <v>4.2</v>
      </c>
      <c r="E11" s="392">
        <v>12</v>
      </c>
      <c r="F11" s="389" t="s">
        <v>30</v>
      </c>
      <c r="G11" s="389"/>
      <c r="H11" s="393"/>
      <c r="I11" s="394" t="s">
        <v>549</v>
      </c>
      <c r="J11" s="395">
        <f>3.14*0.006^2</f>
        <v>1.1304E-4</v>
      </c>
      <c r="K11" s="396">
        <v>0.06</v>
      </c>
      <c r="L11" s="401">
        <v>2710</v>
      </c>
      <c r="M11" s="397">
        <v>1</v>
      </c>
      <c r="N11" s="334">
        <f>IF(J11="",D11*M11,D11*J11*K11*L11*M11)</f>
        <v>7.7197276800000006E-2</v>
      </c>
      <c r="O11" s="402"/>
    </row>
    <row r="12" spans="1:17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7.7197276800000006E-2</v>
      </c>
      <c r="O12" s="62"/>
    </row>
    <row r="13" spans="1:17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Q13" s="131"/>
    </row>
    <row r="14" spans="1:17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7" x14ac:dyDescent="0.25">
      <c r="A15" s="330">
        <v>10</v>
      </c>
      <c r="B15" s="327" t="s">
        <v>199</v>
      </c>
      <c r="C15" s="398"/>
      <c r="D15" s="399">
        <v>0.4</v>
      </c>
      <c r="E15" s="330" t="s">
        <v>40</v>
      </c>
      <c r="F15" s="330">
        <v>1</v>
      </c>
      <c r="G15" s="330"/>
      <c r="H15" s="330"/>
      <c r="I15" s="400">
        <f>IF(H15="",D15*F15,D15*F15*H15)</f>
        <v>0.4</v>
      </c>
      <c r="J15" s="376"/>
      <c r="K15" s="376"/>
      <c r="L15" s="376"/>
      <c r="M15" s="376"/>
      <c r="N15" s="376"/>
      <c r="O15" s="377"/>
    </row>
    <row r="16" spans="1:17" x14ac:dyDescent="0.25">
      <c r="A16" s="67"/>
      <c r="B16" s="24"/>
      <c r="C16" s="24"/>
      <c r="D16" s="24"/>
      <c r="E16" s="24"/>
      <c r="F16" s="24"/>
      <c r="G16" s="24"/>
      <c r="H16" s="108" t="s">
        <v>18</v>
      </c>
      <c r="I16" s="106">
        <f>SUM(I15:I15)</f>
        <v>0.4</v>
      </c>
      <c r="J16" s="24"/>
      <c r="K16" s="24"/>
      <c r="L16" s="24"/>
      <c r="M16" s="24"/>
      <c r="N16" s="24"/>
      <c r="O16" s="62"/>
    </row>
    <row r="17" spans="1:15" ht="15.75" thickBot="1" x14ac:dyDescent="0.3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E3" location="'SU Drawing Part 6'!A1" display="Drawing" xr:uid="{00000000-0004-0000-2100-000000000000}"/>
    <hyperlink ref="B4" location="SU_A0200" display="Lower Front A-arm" xr:uid="{00000000-0004-0000-2100-000001000000}"/>
    <hyperlink ref="G2" location="SU_A0200_BOM" display="Back to BOM" xr:uid="{00000000-0004-0000-21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RowHeight="15" x14ac:dyDescent="0.25"/>
  <cols>
    <col min="1" max="1" width="20" customWidth="1"/>
  </cols>
  <sheetData>
    <row r="1" spans="1:2" x14ac:dyDescent="0.25">
      <c r="A1" t="s">
        <v>99</v>
      </c>
      <c r="B1" s="88" t="str">
        <f>SU_02007</f>
        <v>SU_02007</v>
      </c>
    </row>
  </sheetData>
  <hyperlinks>
    <hyperlink ref="B1" location="SU_02007" display="SU_02007" xr:uid="{00000000-0004-0000-22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3" max="3" width="16.85546875" customWidth="1"/>
    <col min="7" max="7" width="13.140625" customWidth="1"/>
    <col min="9" max="9" width="13.7109375" customWidth="1"/>
  </cols>
  <sheetData>
    <row r="1" spans="1:15" x14ac:dyDescent="0.25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25">
      <c r="A2" s="419" t="s">
        <v>0</v>
      </c>
      <c r="B2" s="16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1.3868720000000001</v>
      </c>
      <c r="O2" s="422"/>
    </row>
    <row r="3" spans="1:15" x14ac:dyDescent="0.25">
      <c r="A3" s="419" t="s">
        <v>3</v>
      </c>
      <c r="B3" s="16" t="str">
        <f>'SU A0200'!B3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25">
      <c r="A4" s="419" t="s">
        <v>5</v>
      </c>
      <c r="B4" s="275" t="s">
        <v>105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25">
      <c r="A5" s="419" t="s">
        <v>15</v>
      </c>
      <c r="B5" s="424" t="s">
        <v>215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1.3868720000000001</v>
      </c>
      <c r="O5" s="422"/>
    </row>
    <row r="6" spans="1:15" x14ac:dyDescent="0.25">
      <c r="A6" s="419" t="s">
        <v>7</v>
      </c>
      <c r="B6" s="425" t="s">
        <v>229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25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25">
      <c r="A8" s="419" t="s">
        <v>13</v>
      </c>
      <c r="B8" s="403" t="s">
        <v>203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25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25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30" customHeight="1" x14ac:dyDescent="0.25">
      <c r="A11" s="426">
        <v>10</v>
      </c>
      <c r="B11" s="427" t="s">
        <v>204</v>
      </c>
      <c r="C11" s="428" t="s">
        <v>205</v>
      </c>
      <c r="D11" s="429">
        <v>2.25</v>
      </c>
      <c r="E11" s="430">
        <f>J11*K11*L11</f>
        <v>4.5215999999999999E-2</v>
      </c>
      <c r="F11" s="431" t="s">
        <v>141</v>
      </c>
      <c r="G11" s="431"/>
      <c r="H11" s="432"/>
      <c r="I11" s="433" t="s">
        <v>235</v>
      </c>
      <c r="J11" s="434">
        <f>0.048*0.024</f>
        <v>1.152E-3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0.10173600000000001</v>
      </c>
      <c r="O11" s="422"/>
    </row>
    <row r="12" spans="1:15" x14ac:dyDescent="0.25">
      <c r="A12" s="426">
        <v>20</v>
      </c>
      <c r="B12" s="427" t="s">
        <v>207</v>
      </c>
      <c r="C12" s="428"/>
      <c r="D12" s="411">
        <v>10</v>
      </c>
      <c r="E12" s="412">
        <f>2*J11</f>
        <v>2.3040000000000001E-3</v>
      </c>
      <c r="F12" s="437" t="s">
        <v>202</v>
      </c>
      <c r="G12" s="431"/>
      <c r="H12" s="432"/>
      <c r="I12" s="433"/>
      <c r="J12" s="434"/>
      <c r="K12" s="432"/>
      <c r="L12" s="435"/>
      <c r="M12" s="435"/>
      <c r="N12" s="436">
        <f>E12*D12</f>
        <v>2.3040000000000001E-2</v>
      </c>
      <c r="O12" s="422"/>
    </row>
    <row r="13" spans="1:15" x14ac:dyDescent="0.25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0.12477600000000001</v>
      </c>
      <c r="O13" s="422"/>
    </row>
    <row r="14" spans="1:15" x14ac:dyDescent="0.25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25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44.45" customHeight="1" x14ac:dyDescent="0.25">
      <c r="A16" s="438">
        <v>10</v>
      </c>
      <c r="B16" s="439" t="s">
        <v>39</v>
      </c>
      <c r="C16" s="440" t="s">
        <v>208</v>
      </c>
      <c r="D16" s="441">
        <v>1.3</v>
      </c>
      <c r="E16" s="439" t="s">
        <v>32</v>
      </c>
      <c r="F16" s="299">
        <v>1</v>
      </c>
      <c r="G16" s="440" t="s">
        <v>220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25">
      <c r="A17" s="444">
        <v>20</v>
      </c>
      <c r="B17" s="445" t="s">
        <v>209</v>
      </c>
      <c r="C17" s="296"/>
      <c r="D17" s="441">
        <v>0.01</v>
      </c>
      <c r="E17" s="445" t="s">
        <v>40</v>
      </c>
      <c r="F17" s="446">
        <v>15.5</v>
      </c>
      <c r="G17" s="439"/>
      <c r="H17" s="442"/>
      <c r="I17" s="443">
        <f>IF(H17="",D17*F17,D17*F17*H17)</f>
        <v>0.155</v>
      </c>
      <c r="J17" s="299"/>
      <c r="K17" s="403"/>
      <c r="L17" s="403"/>
      <c r="M17" s="403"/>
      <c r="N17" s="403"/>
      <c r="O17" s="422"/>
    </row>
    <row r="18" spans="1:15" ht="60" x14ac:dyDescent="0.25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220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25">
      <c r="A19" s="444">
        <v>40</v>
      </c>
      <c r="B19" s="448" t="s">
        <v>92</v>
      </c>
      <c r="C19" s="448" t="s">
        <v>219</v>
      </c>
      <c r="D19" s="449">
        <v>0.04</v>
      </c>
      <c r="E19" s="448" t="s">
        <v>93</v>
      </c>
      <c r="F19" s="448">
        <v>1</v>
      </c>
      <c r="G19" s="448" t="s">
        <v>197</v>
      </c>
      <c r="H19" s="448">
        <v>3</v>
      </c>
      <c r="I19" s="450">
        <f t="shared" si="0"/>
        <v>0.12</v>
      </c>
      <c r="J19" s="302"/>
      <c r="K19" s="414"/>
      <c r="L19" s="414"/>
      <c r="M19" s="414"/>
      <c r="N19" s="414"/>
      <c r="O19" s="422"/>
    </row>
    <row r="20" spans="1:15" ht="30" x14ac:dyDescent="0.25">
      <c r="A20" s="438">
        <v>50</v>
      </c>
      <c r="B20" s="439" t="s">
        <v>162</v>
      </c>
      <c r="C20" s="296" t="s">
        <v>210</v>
      </c>
      <c r="D20" s="303">
        <v>5.25</v>
      </c>
      <c r="E20" s="439" t="s">
        <v>202</v>
      </c>
      <c r="F20" s="451">
        <f>2*J11</f>
        <v>2.3040000000000001E-3</v>
      </c>
      <c r="G20" s="439"/>
      <c r="H20" s="442"/>
      <c r="I20" s="450">
        <f>F20*D20</f>
        <v>1.2096000000000001E-2</v>
      </c>
      <c r="J20" s="452"/>
      <c r="K20" s="453"/>
      <c r="L20" s="453"/>
      <c r="M20" s="453"/>
      <c r="N20" s="453"/>
      <c r="O20" s="422"/>
    </row>
    <row r="21" spans="1:15" x14ac:dyDescent="0.25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1.2620960000000001</v>
      </c>
      <c r="J21" s="453"/>
      <c r="K21" s="453"/>
      <c r="L21" s="453"/>
      <c r="M21" s="453"/>
      <c r="N21" s="453"/>
      <c r="O21" s="422"/>
    </row>
    <row r="22" spans="1:15" ht="15.75" thickBot="1" x14ac:dyDescent="0.3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B4" location="SU_A0200" display="Lower Front A-arm" xr:uid="{00000000-0004-0000-2300-000000000000}"/>
    <hyperlink ref="F2" location="SU_A0200_BOM" display="Back to BOM" xr:uid="{00000000-0004-0000-2300-000001000000}"/>
    <hyperlink ref="E3" location="dSU_02008" display="Drawing" xr:uid="{00000000-0004-0000-23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7" fitToHeight="99" orientation="landscape" r:id="rId1"/>
  <headerFooter>
    <oddFooter>Page &amp;P</oddFooter>
  </headerFooter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2.7109375" customWidth="1"/>
  </cols>
  <sheetData>
    <row r="1" spans="1:2" x14ac:dyDescent="0.25">
      <c r="A1" t="s">
        <v>124</v>
      </c>
      <c r="B1" s="275" t="s">
        <v>229</v>
      </c>
    </row>
  </sheetData>
  <hyperlinks>
    <hyperlink ref="B1" location="SU_02008" display="SU_02008" xr:uid="{00000000-0004-0000-24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9" max="9" width="14.140625" customWidth="1"/>
  </cols>
  <sheetData>
    <row r="1" spans="1:15" x14ac:dyDescent="0.25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25">
      <c r="A2" s="419" t="s">
        <v>0</v>
      </c>
      <c r="B2" s="16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1.4357435000000001</v>
      </c>
      <c r="O2" s="422"/>
    </row>
    <row r="3" spans="1:15" x14ac:dyDescent="0.25">
      <c r="A3" s="419" t="s">
        <v>3</v>
      </c>
      <c r="B3" s="16" t="str">
        <f>'SU A0200'!B3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25">
      <c r="A4" s="419" t="s">
        <v>5</v>
      </c>
      <c r="B4" s="275" t="s">
        <v>105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25">
      <c r="A5" s="419" t="s">
        <v>15</v>
      </c>
      <c r="B5" s="424" t="s">
        <v>216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1.4357435000000001</v>
      </c>
      <c r="O5" s="422"/>
    </row>
    <row r="6" spans="1:15" x14ac:dyDescent="0.25">
      <c r="A6" s="419" t="s">
        <v>7</v>
      </c>
      <c r="B6" s="425" t="s">
        <v>231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25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25">
      <c r="A8" s="419" t="s">
        <v>13</v>
      </c>
      <c r="B8" s="403" t="s">
        <v>203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25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25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30" customHeight="1" x14ac:dyDescent="0.25">
      <c r="A11" s="426">
        <v>10</v>
      </c>
      <c r="B11" s="427" t="s">
        <v>204</v>
      </c>
      <c r="C11" s="428" t="s">
        <v>205</v>
      </c>
      <c r="D11" s="429">
        <v>2.25</v>
      </c>
      <c r="E11" s="430">
        <f>J11*K11*L11</f>
        <v>5.8717999999999999E-2</v>
      </c>
      <c r="F11" s="431" t="s">
        <v>141</v>
      </c>
      <c r="G11" s="431"/>
      <c r="H11" s="432"/>
      <c r="I11" s="433" t="s">
        <v>236</v>
      </c>
      <c r="J11" s="434">
        <f>0.068*0.022</f>
        <v>1.4959999999999999E-3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0.1321155</v>
      </c>
      <c r="O11" s="422"/>
    </row>
    <row r="12" spans="1:15" x14ac:dyDescent="0.25">
      <c r="A12" s="426">
        <v>20</v>
      </c>
      <c r="B12" s="427" t="s">
        <v>207</v>
      </c>
      <c r="C12" s="428"/>
      <c r="D12" s="411">
        <v>10</v>
      </c>
      <c r="E12" s="412">
        <f>2*J11</f>
        <v>2.9919999999999999E-3</v>
      </c>
      <c r="F12" s="437" t="s">
        <v>202</v>
      </c>
      <c r="G12" s="431"/>
      <c r="H12" s="432"/>
      <c r="I12" s="433"/>
      <c r="J12" s="434"/>
      <c r="K12" s="432"/>
      <c r="L12" s="435"/>
      <c r="M12" s="435"/>
      <c r="N12" s="436">
        <f>E12*D12</f>
        <v>2.9919999999999999E-2</v>
      </c>
      <c r="O12" s="422"/>
    </row>
    <row r="13" spans="1:15" x14ac:dyDescent="0.25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0.1620355</v>
      </c>
      <c r="O13" s="422"/>
    </row>
    <row r="14" spans="1:15" x14ac:dyDescent="0.25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25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60" x14ac:dyDescent="0.25">
      <c r="A16" s="438">
        <v>10</v>
      </c>
      <c r="B16" s="439" t="s">
        <v>39</v>
      </c>
      <c r="C16" s="440" t="s">
        <v>208</v>
      </c>
      <c r="D16" s="441">
        <v>1.3</v>
      </c>
      <c r="E16" s="439" t="s">
        <v>32</v>
      </c>
      <c r="F16" s="299">
        <v>1</v>
      </c>
      <c r="G16" s="440" t="s">
        <v>220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25">
      <c r="A17" s="444">
        <v>20</v>
      </c>
      <c r="B17" s="445" t="s">
        <v>209</v>
      </c>
      <c r="C17" s="296"/>
      <c r="D17" s="441">
        <v>0.01</v>
      </c>
      <c r="E17" s="445" t="s">
        <v>40</v>
      </c>
      <c r="F17" s="446">
        <v>16.3</v>
      </c>
      <c r="G17" s="439"/>
      <c r="H17" s="442"/>
      <c r="I17" s="443">
        <f>IF(H17="",D17*F17,D17*F17*H17)</f>
        <v>0.16300000000000001</v>
      </c>
      <c r="J17" s="299"/>
      <c r="K17" s="403"/>
      <c r="L17" s="403"/>
      <c r="M17" s="403"/>
      <c r="N17" s="403"/>
      <c r="O17" s="422"/>
    </row>
    <row r="18" spans="1:15" ht="60" x14ac:dyDescent="0.25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220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25">
      <c r="A19" s="444">
        <v>40</v>
      </c>
      <c r="B19" s="448" t="s">
        <v>92</v>
      </c>
      <c r="C19" s="448" t="s">
        <v>219</v>
      </c>
      <c r="D19" s="449">
        <v>0.04</v>
      </c>
      <c r="E19" s="448" t="s">
        <v>93</v>
      </c>
      <c r="F19" s="448">
        <v>1</v>
      </c>
      <c r="G19" s="448" t="s">
        <v>197</v>
      </c>
      <c r="H19" s="448">
        <v>3</v>
      </c>
      <c r="I19" s="450">
        <f t="shared" si="0"/>
        <v>0.12</v>
      </c>
      <c r="J19" s="302"/>
      <c r="K19" s="414"/>
      <c r="L19" s="414"/>
      <c r="M19" s="414"/>
      <c r="N19" s="414"/>
      <c r="O19" s="422"/>
    </row>
    <row r="20" spans="1:15" ht="30" x14ac:dyDescent="0.25">
      <c r="A20" s="438">
        <v>50</v>
      </c>
      <c r="B20" s="439" t="s">
        <v>162</v>
      </c>
      <c r="C20" s="296" t="s">
        <v>210</v>
      </c>
      <c r="D20" s="303">
        <v>5.25</v>
      </c>
      <c r="E20" s="439" t="s">
        <v>202</v>
      </c>
      <c r="F20" s="451">
        <f>2*J11</f>
        <v>2.9919999999999999E-3</v>
      </c>
      <c r="G20" s="439"/>
      <c r="H20" s="442"/>
      <c r="I20" s="450">
        <f>F20*D20</f>
        <v>1.5708E-2</v>
      </c>
      <c r="J20" s="452"/>
      <c r="K20" s="453"/>
      <c r="L20" s="453"/>
      <c r="M20" s="453"/>
      <c r="N20" s="453"/>
      <c r="O20" s="422"/>
    </row>
    <row r="21" spans="1:15" x14ac:dyDescent="0.25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1.2737080000000001</v>
      </c>
      <c r="J21" s="453"/>
      <c r="K21" s="453"/>
      <c r="L21" s="453"/>
      <c r="M21" s="453"/>
      <c r="N21" s="453"/>
      <c r="O21" s="422"/>
    </row>
    <row r="22" spans="1:15" ht="15.75" thickBot="1" x14ac:dyDescent="0.3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B4" location="SU_A0200" display="Lower Front A-arm" xr:uid="{00000000-0004-0000-2500-000000000000}"/>
    <hyperlink ref="F2" location="SU_A0200_BOM" display="Back to BOM" xr:uid="{00000000-0004-0000-2500-000001000000}"/>
    <hyperlink ref="E3" location="dSU_02009" display="Drawing" xr:uid="{00000000-0004-0000-25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0" fitToHeight="99" orientation="landscape" r:id="rId1"/>
  <headerFooter>
    <oddFooter>Page &amp;P</oddFooter>
  </headerFooter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3" customWidth="1"/>
  </cols>
  <sheetData>
    <row r="1" spans="1:2" x14ac:dyDescent="0.25">
      <c r="A1" t="s">
        <v>124</v>
      </c>
      <c r="B1" s="275" t="s">
        <v>231</v>
      </c>
    </row>
  </sheetData>
  <hyperlinks>
    <hyperlink ref="B1" location="SU_02009" display="SU_02009" xr:uid="{00000000-0004-0000-26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99</v>
      </c>
      <c r="B1" s="88" t="str">
        <f>SU_01001</f>
        <v>SU_01001</v>
      </c>
    </row>
  </sheetData>
  <hyperlinks>
    <hyperlink ref="B1" location="SU_01001" display="SU_01001" xr:uid="{00000000-0004-0000-03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18.140625" customWidth="1"/>
    <col min="7" max="7" width="16.140625" customWidth="1"/>
    <col min="9" max="9" width="13.42578125" customWidth="1"/>
  </cols>
  <sheetData>
    <row r="1" spans="1:15" x14ac:dyDescent="0.25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25">
      <c r="A2" s="419" t="s">
        <v>0</v>
      </c>
      <c r="B2" s="16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1.3315549999999998</v>
      </c>
      <c r="O2" s="422"/>
    </row>
    <row r="3" spans="1:15" x14ac:dyDescent="0.25">
      <c r="A3" s="419" t="s">
        <v>3</v>
      </c>
      <c r="B3" s="16" t="str">
        <f>'SU A0200'!B3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25">
      <c r="A4" s="419" t="s">
        <v>5</v>
      </c>
      <c r="B4" s="275" t="s">
        <v>105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25">
      <c r="A5" s="419" t="s">
        <v>15</v>
      </c>
      <c r="B5" s="424" t="s">
        <v>233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1.3315549999999998</v>
      </c>
      <c r="O5" s="422"/>
    </row>
    <row r="6" spans="1:15" x14ac:dyDescent="0.25">
      <c r="A6" s="419" t="s">
        <v>7</v>
      </c>
      <c r="B6" s="425" t="s">
        <v>232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25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25">
      <c r="A8" s="419" t="s">
        <v>13</v>
      </c>
      <c r="B8" s="403" t="s">
        <v>203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25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25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29.45" customHeight="1" x14ac:dyDescent="0.25">
      <c r="A11" s="426">
        <v>10</v>
      </c>
      <c r="B11" s="427" t="s">
        <v>204</v>
      </c>
      <c r="C11" s="428" t="s">
        <v>205</v>
      </c>
      <c r="D11" s="429">
        <v>2.25</v>
      </c>
      <c r="E11" s="430">
        <f>J11*K11*L11</f>
        <v>3.4539999999999994E-2</v>
      </c>
      <c r="F11" s="431" t="s">
        <v>141</v>
      </c>
      <c r="G11" s="431"/>
      <c r="H11" s="432"/>
      <c r="I11" s="433" t="s">
        <v>237</v>
      </c>
      <c r="J11" s="434">
        <f>0.04*0.022</f>
        <v>8.7999999999999992E-4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7.7715000000000006E-2</v>
      </c>
      <c r="O11" s="422"/>
    </row>
    <row r="12" spans="1:15" x14ac:dyDescent="0.25">
      <c r="A12" s="426">
        <v>20</v>
      </c>
      <c r="B12" s="427" t="s">
        <v>207</v>
      </c>
      <c r="C12" s="428"/>
      <c r="D12" s="411">
        <v>10</v>
      </c>
      <c r="E12" s="412">
        <f>2*J11</f>
        <v>1.7599999999999998E-3</v>
      </c>
      <c r="F12" s="437" t="s">
        <v>202</v>
      </c>
      <c r="G12" s="431"/>
      <c r="H12" s="432"/>
      <c r="I12" s="433"/>
      <c r="J12" s="434"/>
      <c r="K12" s="432"/>
      <c r="L12" s="435"/>
      <c r="M12" s="435"/>
      <c r="N12" s="436">
        <f>E12*D12</f>
        <v>1.7599999999999998E-2</v>
      </c>
      <c r="O12" s="422"/>
    </row>
    <row r="13" spans="1:15" x14ac:dyDescent="0.25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9.5315000000000011E-2</v>
      </c>
      <c r="O13" s="422"/>
    </row>
    <row r="14" spans="1:15" x14ac:dyDescent="0.25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25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43.9" customHeight="1" x14ac:dyDescent="0.25">
      <c r="A16" s="438">
        <v>10</v>
      </c>
      <c r="B16" s="439" t="s">
        <v>39</v>
      </c>
      <c r="C16" s="440" t="s">
        <v>238</v>
      </c>
      <c r="D16" s="441">
        <v>1.3</v>
      </c>
      <c r="E16" s="439" t="s">
        <v>32</v>
      </c>
      <c r="F16" s="299">
        <v>1</v>
      </c>
      <c r="G16" s="440" t="s">
        <v>220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25">
      <c r="A17" s="444">
        <v>20</v>
      </c>
      <c r="B17" s="445" t="s">
        <v>209</v>
      </c>
      <c r="C17" s="296"/>
      <c r="D17" s="441">
        <v>0.01</v>
      </c>
      <c r="E17" s="445" t="s">
        <v>40</v>
      </c>
      <c r="F17" s="446">
        <v>13.2</v>
      </c>
      <c r="G17" s="439"/>
      <c r="H17" s="442"/>
      <c r="I17" s="443">
        <f>IF(H17="",D17*F17,D17*F17*H17)</f>
        <v>0.13200000000000001</v>
      </c>
      <c r="J17" s="299"/>
      <c r="K17" s="403"/>
      <c r="L17" s="403"/>
      <c r="M17" s="403"/>
      <c r="N17" s="403"/>
      <c r="O17" s="422"/>
    </row>
    <row r="18" spans="1:15" ht="28.15" customHeight="1" x14ac:dyDescent="0.25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220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25">
      <c r="A19" s="444">
        <v>40</v>
      </c>
      <c r="B19" s="448" t="s">
        <v>92</v>
      </c>
      <c r="C19" s="448" t="s">
        <v>219</v>
      </c>
      <c r="D19" s="449">
        <v>0.04</v>
      </c>
      <c r="E19" s="448" t="s">
        <v>93</v>
      </c>
      <c r="F19" s="448">
        <v>1</v>
      </c>
      <c r="G19" s="448" t="s">
        <v>197</v>
      </c>
      <c r="H19" s="448">
        <v>3</v>
      </c>
      <c r="I19" s="450">
        <f t="shared" si="0"/>
        <v>0.12</v>
      </c>
      <c r="J19" s="302"/>
      <c r="K19" s="414"/>
      <c r="L19" s="414"/>
      <c r="M19" s="414"/>
      <c r="N19" s="414"/>
      <c r="O19" s="422"/>
    </row>
    <row r="20" spans="1:15" ht="26.45" customHeight="1" x14ac:dyDescent="0.25">
      <c r="A20" s="438">
        <v>50</v>
      </c>
      <c r="B20" s="439" t="s">
        <v>162</v>
      </c>
      <c r="C20" s="559" t="s">
        <v>210</v>
      </c>
      <c r="D20" s="303">
        <v>5.25</v>
      </c>
      <c r="E20" s="439" t="s">
        <v>202</v>
      </c>
      <c r="F20" s="451">
        <f>2*J11</f>
        <v>1.7599999999999998E-3</v>
      </c>
      <c r="G20" s="439"/>
      <c r="H20" s="442"/>
      <c r="I20" s="450">
        <f>F20*D20</f>
        <v>9.2399999999999999E-3</v>
      </c>
      <c r="J20" s="452"/>
      <c r="K20" s="453"/>
      <c r="L20" s="453"/>
      <c r="M20" s="453"/>
      <c r="N20" s="453"/>
      <c r="O20" s="422"/>
    </row>
    <row r="21" spans="1:15" x14ac:dyDescent="0.25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1.2362399999999998</v>
      </c>
      <c r="J21" s="453"/>
      <c r="K21" s="453"/>
      <c r="L21" s="453"/>
      <c r="M21" s="453"/>
      <c r="N21" s="453"/>
      <c r="O21" s="422"/>
    </row>
    <row r="22" spans="1:15" ht="15.75" thickBot="1" x14ac:dyDescent="0.3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B4" location="SU_A0200" display="Lower Front A-arm" xr:uid="{00000000-0004-0000-2700-000000000000}"/>
    <hyperlink ref="F2" location="SU_A0200_BOM" display="Back to BOM" xr:uid="{00000000-0004-0000-2700-000001000000}"/>
    <hyperlink ref="E3" location="dSU_02010" display="Drawing" xr:uid="{00000000-0004-0000-27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6" fitToHeight="99" orientation="landscape" r:id="rId1"/>
  <headerFooter>
    <oddFooter>Page &amp;P</oddFooter>
  </headerFooter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5" t="s">
        <v>232</v>
      </c>
    </row>
  </sheetData>
  <hyperlinks>
    <hyperlink ref="B1" location="SU_02010" display="SU_02010" xr:uid="{00000000-0004-0000-28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7" max="7" width="13.42578125" customWidth="1"/>
  </cols>
  <sheetData>
    <row r="1" spans="1:15" x14ac:dyDescent="0.25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25">
      <c r="A2" s="419" t="s">
        <v>0</v>
      </c>
      <c r="B2" s="16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1.41506025</v>
      </c>
      <c r="O2" s="422"/>
    </row>
    <row r="3" spans="1:15" x14ac:dyDescent="0.25">
      <c r="A3" s="419" t="s">
        <v>3</v>
      </c>
      <c r="B3" s="16" t="str">
        <f>'SU A0200'!B3</f>
        <v>Suspension &amp; Shocks</v>
      </c>
      <c r="C3" s="404"/>
      <c r="D3" s="338" t="s">
        <v>6</v>
      </c>
      <c r="E3" s="382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25">
      <c r="A4" s="419" t="s">
        <v>5</v>
      </c>
      <c r="B4" s="275" t="s">
        <v>105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25">
      <c r="A5" s="419" t="s">
        <v>15</v>
      </c>
      <c r="B5" s="424" t="s">
        <v>218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1.41506025</v>
      </c>
      <c r="O5" s="422"/>
    </row>
    <row r="6" spans="1:15" x14ac:dyDescent="0.25">
      <c r="A6" s="419" t="s">
        <v>7</v>
      </c>
      <c r="B6" s="425" t="s">
        <v>234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25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25">
      <c r="A8" s="419" t="s">
        <v>13</v>
      </c>
      <c r="B8" s="403" t="s">
        <v>203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25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25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30" x14ac:dyDescent="0.25">
      <c r="A11" s="426">
        <v>10</v>
      </c>
      <c r="B11" s="427" t="s">
        <v>204</v>
      </c>
      <c r="C11" s="428" t="s">
        <v>205</v>
      </c>
      <c r="D11" s="429">
        <v>2.25</v>
      </c>
      <c r="E11" s="430">
        <f>J11*K11*L11</f>
        <v>5.3537000000000001E-2</v>
      </c>
      <c r="F11" s="431" t="s">
        <v>141</v>
      </c>
      <c r="G11" s="431"/>
      <c r="H11" s="432"/>
      <c r="I11" s="433" t="s">
        <v>206</v>
      </c>
      <c r="J11" s="434">
        <f>0.062*0.022</f>
        <v>1.364E-3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0.12045825</v>
      </c>
      <c r="O11" s="422"/>
    </row>
    <row r="12" spans="1:15" x14ac:dyDescent="0.25">
      <c r="A12" s="426">
        <v>20</v>
      </c>
      <c r="B12" s="427" t="s">
        <v>207</v>
      </c>
      <c r="C12" s="428"/>
      <c r="D12" s="411">
        <v>10</v>
      </c>
      <c r="E12" s="412">
        <f>2*J11</f>
        <v>2.728E-3</v>
      </c>
      <c r="F12" s="437" t="s">
        <v>202</v>
      </c>
      <c r="G12" s="431"/>
      <c r="H12" s="432"/>
      <c r="I12" s="433"/>
      <c r="J12" s="434"/>
      <c r="K12" s="432"/>
      <c r="L12" s="435"/>
      <c r="M12" s="435"/>
      <c r="N12" s="436">
        <f>E12*D12</f>
        <v>2.7279999999999999E-2</v>
      </c>
      <c r="O12" s="422"/>
    </row>
    <row r="13" spans="1:15" x14ac:dyDescent="0.25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0.14773825000000002</v>
      </c>
      <c r="O13" s="422"/>
    </row>
    <row r="14" spans="1:15" x14ac:dyDescent="0.25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25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60" x14ac:dyDescent="0.25">
      <c r="A16" s="438">
        <v>10</v>
      </c>
      <c r="B16" s="439" t="s">
        <v>39</v>
      </c>
      <c r="C16" s="440" t="s">
        <v>208</v>
      </c>
      <c r="D16" s="441">
        <v>1.3</v>
      </c>
      <c r="E16" s="439" t="s">
        <v>32</v>
      </c>
      <c r="F16" s="299">
        <v>1</v>
      </c>
      <c r="G16" s="440" t="s">
        <v>220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25">
      <c r="A17" s="444">
        <v>20</v>
      </c>
      <c r="B17" s="445" t="s">
        <v>209</v>
      </c>
      <c r="C17" s="296"/>
      <c r="D17" s="441">
        <v>0.01</v>
      </c>
      <c r="E17" s="445" t="s">
        <v>40</v>
      </c>
      <c r="F17" s="446">
        <v>15.8</v>
      </c>
      <c r="G17" s="439"/>
      <c r="H17" s="442"/>
      <c r="I17" s="443">
        <f>IF(H17="",D17*F17,D17*F17*H17)</f>
        <v>0.158</v>
      </c>
      <c r="J17" s="299"/>
      <c r="K17" s="403"/>
      <c r="L17" s="403"/>
      <c r="M17" s="403"/>
      <c r="N17" s="403"/>
      <c r="O17" s="422"/>
    </row>
    <row r="18" spans="1:15" ht="60" x14ac:dyDescent="0.25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220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25">
      <c r="A19" s="444">
        <v>40</v>
      </c>
      <c r="B19" s="448" t="s">
        <v>92</v>
      </c>
      <c r="C19" s="448" t="s">
        <v>219</v>
      </c>
      <c r="D19" s="449">
        <v>0.04</v>
      </c>
      <c r="E19" s="448" t="s">
        <v>93</v>
      </c>
      <c r="F19" s="448">
        <v>1</v>
      </c>
      <c r="G19" s="448" t="s">
        <v>197</v>
      </c>
      <c r="H19" s="448">
        <v>3</v>
      </c>
      <c r="I19" s="450">
        <f t="shared" si="0"/>
        <v>0.12</v>
      </c>
      <c r="J19" s="302"/>
      <c r="K19" s="414"/>
      <c r="L19" s="414"/>
      <c r="M19" s="414"/>
      <c r="N19" s="414"/>
      <c r="O19" s="422"/>
    </row>
    <row r="20" spans="1:15" ht="30" x14ac:dyDescent="0.25">
      <c r="A20" s="438">
        <v>50</v>
      </c>
      <c r="B20" s="439" t="s">
        <v>162</v>
      </c>
      <c r="C20" s="296" t="s">
        <v>210</v>
      </c>
      <c r="D20" s="303">
        <v>5.25</v>
      </c>
      <c r="E20" s="439" t="s">
        <v>202</v>
      </c>
      <c r="F20" s="451">
        <f>2*J11</f>
        <v>2.728E-3</v>
      </c>
      <c r="G20" s="439"/>
      <c r="H20" s="442"/>
      <c r="I20" s="450">
        <f>F20*D20</f>
        <v>1.4322E-2</v>
      </c>
      <c r="J20" s="452"/>
      <c r="K20" s="453"/>
      <c r="L20" s="453"/>
      <c r="M20" s="453"/>
      <c r="N20" s="453"/>
      <c r="O20" s="422"/>
    </row>
    <row r="21" spans="1:15" x14ac:dyDescent="0.25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1.2673220000000001</v>
      </c>
      <c r="J21" s="453"/>
      <c r="K21" s="453"/>
      <c r="L21" s="453"/>
      <c r="M21" s="453"/>
      <c r="N21" s="453"/>
      <c r="O21" s="422"/>
    </row>
    <row r="22" spans="1:15" ht="15.75" thickBot="1" x14ac:dyDescent="0.3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B4" location="SU_A0200" display="Lower Front A-arm" xr:uid="{00000000-0004-0000-2900-000000000000}"/>
    <hyperlink ref="F2" location="SU_A0200_BOM" display="Back to BOM" xr:uid="{00000000-0004-0000-2900-000001000000}"/>
    <hyperlink ref="E3" location="dSU_01007" display="Drawing" xr:uid="{00000000-0004-0000-29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0" fitToHeight="99" orientation="landscape" r:id="rId1"/>
  <headerFooter>
    <oddFooter>Page &amp;P</oddFooter>
  </headerFooter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sheetPr>
    <tabColor rgb="FFFFFF66"/>
    <pageSetUpPr fitToPage="1"/>
  </sheetPr>
  <dimension ref="A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1" x14ac:dyDescent="0.25">
      <c r="A1" t="s">
        <v>230</v>
      </c>
    </row>
  </sheetData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sheetPr>
    <tabColor rgb="FFFFFF00"/>
    <pageSetUpPr fitToPage="1"/>
  </sheetPr>
  <dimension ref="A1:O64"/>
  <sheetViews>
    <sheetView zoomScaleNormal="100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1" max="1" width="9.140625" style="151"/>
    <col min="2" max="2" width="57.140625" style="151" customWidth="1"/>
    <col min="3" max="3" width="55.7109375" style="151" customWidth="1"/>
    <col min="4" max="4" width="9.140625" style="151"/>
    <col min="5" max="5" width="9.5703125" style="151" customWidth="1"/>
    <col min="6" max="13" width="9.140625" style="151"/>
    <col min="14" max="14" width="11.5703125" style="151" customWidth="1"/>
    <col min="15" max="15" width="5.28515625" style="151" customWidth="1"/>
    <col min="16" max="16384" width="9.140625" style="151"/>
  </cols>
  <sheetData>
    <row r="1" spans="1:15" x14ac:dyDescent="0.25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5" x14ac:dyDescent="0.25">
      <c r="A2" s="152" t="s">
        <v>0</v>
      </c>
      <c r="B2" s="153" t="s">
        <v>37</v>
      </c>
      <c r="C2" s="154"/>
      <c r="D2" s="154"/>
      <c r="E2" s="87" t="s">
        <v>62</v>
      </c>
      <c r="F2" s="154"/>
      <c r="G2" s="154"/>
      <c r="H2" s="154"/>
      <c r="I2" s="154"/>
      <c r="J2" s="152" t="s">
        <v>1</v>
      </c>
      <c r="K2" s="155">
        <v>81</v>
      </c>
      <c r="L2" s="154"/>
      <c r="M2" s="152" t="s">
        <v>2</v>
      </c>
      <c r="N2" s="92">
        <f>SU_A0300_pa+SU_A0300_m+SU_A0300_p+SU_A0300_f</f>
        <v>76.389660206225173</v>
      </c>
      <c r="O2" s="156"/>
    </row>
    <row r="3" spans="1:15" x14ac:dyDescent="0.25">
      <c r="A3" s="152" t="s">
        <v>3</v>
      </c>
      <c r="B3" s="153" t="s">
        <v>63</v>
      </c>
      <c r="C3" s="154"/>
      <c r="D3" s="154"/>
      <c r="E3" s="154"/>
      <c r="F3" s="154"/>
      <c r="G3" s="154"/>
      <c r="H3" s="154"/>
      <c r="I3" s="154"/>
      <c r="J3" s="154"/>
      <c r="K3" s="154"/>
      <c r="L3" s="154"/>
      <c r="M3" s="152" t="s">
        <v>4</v>
      </c>
      <c r="N3" s="82">
        <v>2</v>
      </c>
      <c r="O3" s="156"/>
    </row>
    <row r="4" spans="1:15" x14ac:dyDescent="0.25">
      <c r="A4" s="152" t="s">
        <v>5</v>
      </c>
      <c r="B4" s="157" t="s">
        <v>126</v>
      </c>
      <c r="C4" s="154"/>
      <c r="D4" s="154"/>
      <c r="E4" s="154"/>
      <c r="F4" s="154"/>
      <c r="G4" s="154"/>
      <c r="H4" s="154"/>
      <c r="I4" s="154"/>
      <c r="J4" s="158" t="s">
        <v>6</v>
      </c>
      <c r="K4" s="154"/>
      <c r="L4" s="154"/>
      <c r="M4" s="154"/>
      <c r="N4" s="154"/>
      <c r="O4" s="156"/>
    </row>
    <row r="5" spans="1:15" x14ac:dyDescent="0.25">
      <c r="A5" s="152" t="s">
        <v>7</v>
      </c>
      <c r="B5" s="159" t="s">
        <v>127</v>
      </c>
      <c r="C5" s="154"/>
      <c r="D5" s="154"/>
      <c r="E5" s="154"/>
      <c r="F5" s="154"/>
      <c r="G5" s="154"/>
      <c r="H5" s="154"/>
      <c r="I5" s="154"/>
      <c r="J5" s="158" t="s">
        <v>8</v>
      </c>
      <c r="K5" s="154"/>
      <c r="L5" s="154"/>
      <c r="M5" s="152" t="s">
        <v>9</v>
      </c>
      <c r="N5" s="74">
        <f>N2*N3</f>
        <v>152.77932041245035</v>
      </c>
      <c r="O5" s="156"/>
    </row>
    <row r="6" spans="1:15" x14ac:dyDescent="0.25">
      <c r="A6" s="152" t="s">
        <v>10</v>
      </c>
      <c r="B6" s="153"/>
      <c r="C6" s="154"/>
      <c r="D6" s="154"/>
      <c r="E6" s="154"/>
      <c r="F6" s="154"/>
      <c r="G6" s="154"/>
      <c r="H6" s="154"/>
      <c r="I6" s="154"/>
      <c r="J6" s="158" t="s">
        <v>12</v>
      </c>
      <c r="K6" s="154"/>
      <c r="L6" s="154"/>
      <c r="M6" s="154"/>
      <c r="N6" s="154"/>
      <c r="O6" s="156"/>
    </row>
    <row r="7" spans="1:15" x14ac:dyDescent="0.25">
      <c r="A7" s="152" t="s">
        <v>13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5" x14ac:dyDescent="0.25">
      <c r="A8" s="160"/>
      <c r="B8" s="154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5" x14ac:dyDescent="0.25">
      <c r="A9" s="152" t="s">
        <v>14</v>
      </c>
      <c r="B9" s="152" t="s">
        <v>15</v>
      </c>
      <c r="C9" s="152" t="s">
        <v>16</v>
      </c>
      <c r="D9" s="152" t="s">
        <v>17</v>
      </c>
      <c r="E9" s="152" t="s">
        <v>18</v>
      </c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5" x14ac:dyDescent="0.25">
      <c r="A10" s="161">
        <v>10</v>
      </c>
      <c r="B10" s="86" t="str">
        <f>'SU 03001'!B5</f>
        <v>Upper Back Bearing Support</v>
      </c>
      <c r="C10" s="74">
        <f>'SU 03001'!N2</f>
        <v>16.4854905344</v>
      </c>
      <c r="D10" s="162">
        <f>SU_03001_q</f>
        <v>1</v>
      </c>
      <c r="E10" s="74">
        <f t="shared" ref="E10:E20" si="0">C10*D10</f>
        <v>16.4854905344</v>
      </c>
      <c r="F10" s="154"/>
      <c r="G10" s="154"/>
      <c r="H10" s="154"/>
      <c r="I10" s="154"/>
      <c r="J10" s="154"/>
      <c r="K10" s="154"/>
      <c r="L10" s="154"/>
      <c r="M10" s="154"/>
      <c r="N10" s="154"/>
      <c r="O10" s="156"/>
    </row>
    <row r="11" spans="1:15" x14ac:dyDescent="0.25">
      <c r="A11" s="161">
        <v>20</v>
      </c>
      <c r="B11" s="86" t="str">
        <f>'SU 03002'!B5</f>
        <v>Inner Bearing Support</v>
      </c>
      <c r="C11" s="74">
        <f>'SU 03002'!N2</f>
        <v>1.8728805440000003</v>
      </c>
      <c r="D11" s="162">
        <f>SU_03002_q</f>
        <v>2</v>
      </c>
      <c r="E11" s="74">
        <f t="shared" si="0"/>
        <v>3.7457610880000005</v>
      </c>
      <c r="F11" s="157"/>
      <c r="G11" s="157"/>
      <c r="H11" s="157"/>
      <c r="I11" s="157"/>
      <c r="J11" s="157"/>
      <c r="K11" s="157"/>
      <c r="L11" s="157"/>
      <c r="M11" s="157"/>
      <c r="N11" s="157"/>
      <c r="O11" s="156"/>
    </row>
    <row r="12" spans="1:15" x14ac:dyDescent="0.25">
      <c r="A12" s="161">
        <v>30</v>
      </c>
      <c r="B12" s="86" t="str">
        <f>'SU 03003'!B5</f>
        <v>Upper Back A-arm tube (Front)  Carbon Fiber Tube</v>
      </c>
      <c r="C12" s="74">
        <f>'SU 03003'!N2</f>
        <v>10.876934879999999</v>
      </c>
      <c r="D12" s="162">
        <f>SU_03003_q</f>
        <v>1</v>
      </c>
      <c r="E12" s="74">
        <f t="shared" si="0"/>
        <v>10.876934879999999</v>
      </c>
      <c r="F12" s="157"/>
      <c r="G12" s="157"/>
      <c r="H12" s="157"/>
      <c r="I12" s="157"/>
      <c r="J12" s="157"/>
      <c r="K12" s="157"/>
      <c r="L12" s="157"/>
      <c r="M12" s="157"/>
      <c r="N12" s="157"/>
      <c r="O12" s="64"/>
    </row>
    <row r="13" spans="1:15" s="163" customFormat="1" x14ac:dyDescent="0.25">
      <c r="A13" s="161">
        <v>40</v>
      </c>
      <c r="B13" s="86" t="str">
        <f>'SU 03004'!B5</f>
        <v>Upper Back A-arm tube (Back)  Carbon Fiber Tube</v>
      </c>
      <c r="C13" s="74">
        <f>'SU 03004'!N2</f>
        <v>4.3445228399999989</v>
      </c>
      <c r="D13" s="162">
        <f>SU_03004_q</f>
        <v>1</v>
      </c>
      <c r="E13" s="74">
        <f t="shared" si="0"/>
        <v>4.3445228399999989</v>
      </c>
      <c r="F13" s="157"/>
      <c r="G13" s="157"/>
      <c r="H13" s="157"/>
      <c r="I13" s="157"/>
      <c r="J13" s="157"/>
      <c r="K13" s="157"/>
      <c r="L13" s="157"/>
      <c r="M13" s="157"/>
      <c r="N13" s="157"/>
      <c r="O13" s="64"/>
    </row>
    <row r="14" spans="1:15" s="163" customFormat="1" x14ac:dyDescent="0.25">
      <c r="A14" s="161">
        <v>50</v>
      </c>
      <c r="B14" s="86" t="str">
        <f>'SU 03005'!B5</f>
        <v>Spacer 1</v>
      </c>
      <c r="C14" s="74">
        <f>'SU 03005'!N2</f>
        <v>0.7197472800000001</v>
      </c>
      <c r="D14" s="162">
        <f>SU_03005_q</f>
        <v>2</v>
      </c>
      <c r="E14" s="74">
        <f t="shared" si="0"/>
        <v>1.4394945600000002</v>
      </c>
      <c r="F14" s="157"/>
      <c r="G14" s="157"/>
      <c r="H14" s="157"/>
      <c r="I14" s="157"/>
      <c r="J14" s="157"/>
      <c r="K14" s="157"/>
      <c r="L14" s="157"/>
      <c r="M14" s="157"/>
      <c r="N14" s="157"/>
      <c r="O14" s="164"/>
    </row>
    <row r="15" spans="1:15" s="163" customFormat="1" x14ac:dyDescent="0.25">
      <c r="A15" s="161">
        <v>60</v>
      </c>
      <c r="B15" s="86" t="str">
        <f>'SU 03006'!B5</f>
        <v>Spacer 2</v>
      </c>
      <c r="C15" s="74">
        <f>'SU 03006'!N2</f>
        <v>0.32421353411764708</v>
      </c>
      <c r="D15" s="162">
        <f>SU_03006_q</f>
        <v>4</v>
      </c>
      <c r="E15" s="74">
        <f t="shared" si="0"/>
        <v>1.2968541364705883</v>
      </c>
      <c r="F15" s="157"/>
      <c r="G15" s="157"/>
      <c r="H15" s="157"/>
      <c r="I15" s="157"/>
      <c r="J15" s="157"/>
      <c r="K15" s="157"/>
      <c r="L15" s="157"/>
      <c r="M15" s="157"/>
      <c r="N15" s="157"/>
      <c r="O15" s="164"/>
    </row>
    <row r="16" spans="1:15" s="163" customFormat="1" x14ac:dyDescent="0.25">
      <c r="A16" s="161">
        <v>70</v>
      </c>
      <c r="B16" s="86" t="str">
        <f>'SU 03007'!B5</f>
        <v>Outboard A-arm Insert</v>
      </c>
      <c r="C16" s="74">
        <f>'SU 03007'!N2</f>
        <v>0.47719727680000001</v>
      </c>
      <c r="D16" s="162">
        <f>SU_03007_q</f>
        <v>2</v>
      </c>
      <c r="E16" s="74">
        <f t="shared" si="0"/>
        <v>0.95439455360000003</v>
      </c>
      <c r="F16" s="157"/>
      <c r="G16" s="157"/>
      <c r="H16" s="157"/>
      <c r="I16" s="157"/>
      <c r="J16" s="157"/>
      <c r="K16" s="157"/>
      <c r="L16" s="157"/>
      <c r="M16" s="157"/>
      <c r="N16" s="157"/>
      <c r="O16" s="164"/>
    </row>
    <row r="17" spans="1:15" s="17" customFormat="1" x14ac:dyDescent="0.25">
      <c r="A17" s="482">
        <v>80</v>
      </c>
      <c r="B17" s="560" t="str">
        <f>'SU 03008'!B5</f>
        <v>Front up bracket</v>
      </c>
      <c r="C17" s="488">
        <f>'SU 03008'!N2</f>
        <v>1.4969516249999999</v>
      </c>
      <c r="D17" s="472">
        <f>SU_03008_q</f>
        <v>1</v>
      </c>
      <c r="E17" s="488">
        <f t="shared" si="0"/>
        <v>1.4969516249999999</v>
      </c>
      <c r="F17" s="340"/>
      <c r="G17" s="340"/>
      <c r="H17" s="340"/>
      <c r="I17" s="340"/>
      <c r="J17" s="340"/>
      <c r="K17" s="340"/>
      <c r="L17" s="340"/>
      <c r="M17" s="340"/>
      <c r="N17" s="340"/>
      <c r="O17" s="345"/>
    </row>
    <row r="18" spans="1:15" s="17" customFormat="1" x14ac:dyDescent="0.25">
      <c r="A18" s="482">
        <v>90</v>
      </c>
      <c r="B18" s="560" t="str">
        <f>'SU 03009'!B5</f>
        <v>Front down bracket</v>
      </c>
      <c r="C18" s="488">
        <f>'SU 03009'!N2</f>
        <v>1.49211</v>
      </c>
      <c r="D18" s="472">
        <f>SU_03009_q</f>
        <v>1</v>
      </c>
      <c r="E18" s="488">
        <f t="shared" si="0"/>
        <v>1.49211</v>
      </c>
      <c r="F18" s="340"/>
      <c r="G18" s="340"/>
      <c r="H18" s="340"/>
      <c r="I18" s="340"/>
      <c r="J18" s="340"/>
      <c r="K18" s="340"/>
      <c r="L18" s="340"/>
      <c r="M18" s="340"/>
      <c r="N18" s="340"/>
      <c r="O18" s="345"/>
    </row>
    <row r="19" spans="1:15" s="17" customFormat="1" x14ac:dyDescent="0.25">
      <c r="A19" s="482">
        <v>100</v>
      </c>
      <c r="B19" s="560" t="str">
        <f>'SU 03010'!B5</f>
        <v>Rear up bracket</v>
      </c>
      <c r="C19" s="488">
        <f>'SU 03010'!N2</f>
        <v>1.2680301249999999</v>
      </c>
      <c r="D19" s="472">
        <f>SU_03010_q</f>
        <v>1</v>
      </c>
      <c r="E19" s="488">
        <f t="shared" si="0"/>
        <v>1.2680301249999999</v>
      </c>
      <c r="F19" s="340"/>
      <c r="G19" s="340"/>
      <c r="H19" s="340"/>
      <c r="I19" s="340"/>
      <c r="J19" s="340"/>
      <c r="K19" s="340"/>
      <c r="L19" s="340"/>
      <c r="M19" s="340"/>
      <c r="N19" s="340"/>
      <c r="O19" s="345"/>
    </row>
    <row r="20" spans="1:15" s="17" customFormat="1" x14ac:dyDescent="0.25">
      <c r="A20" s="482">
        <v>110</v>
      </c>
      <c r="B20" s="560" t="str">
        <f>'SU 03011'!B5</f>
        <v>Rear down bracket</v>
      </c>
      <c r="C20" s="488">
        <f>'SU 03011'!N2</f>
        <v>1.3787631249999999</v>
      </c>
      <c r="D20" s="472">
        <f>SU_03011_q</f>
        <v>1</v>
      </c>
      <c r="E20" s="488">
        <f t="shared" si="0"/>
        <v>1.3787631249999999</v>
      </c>
      <c r="F20" s="340"/>
      <c r="G20" s="340"/>
      <c r="H20" s="340"/>
      <c r="I20" s="340"/>
      <c r="J20" s="340"/>
      <c r="K20" s="340"/>
      <c r="L20" s="340"/>
      <c r="M20" s="340"/>
      <c r="N20" s="340"/>
      <c r="O20" s="345"/>
    </row>
    <row r="21" spans="1:15" x14ac:dyDescent="0.25">
      <c r="A21" s="160"/>
      <c r="B21" s="154"/>
      <c r="C21" s="154"/>
      <c r="D21" s="165" t="s">
        <v>18</v>
      </c>
      <c r="E21" s="166">
        <f>SUM(E10:E16)</f>
        <v>39.143452592470581</v>
      </c>
      <c r="F21" s="157"/>
      <c r="G21" s="157"/>
      <c r="H21" s="157"/>
      <c r="I21" s="157"/>
      <c r="J21" s="157"/>
      <c r="K21" s="157"/>
      <c r="L21" s="157"/>
      <c r="M21" s="157"/>
      <c r="N21" s="157"/>
      <c r="O21" s="156"/>
    </row>
    <row r="22" spans="1:15" x14ac:dyDescent="0.25">
      <c r="A22" s="160"/>
      <c r="B22" s="154"/>
      <c r="C22" s="154"/>
      <c r="D22" s="154"/>
      <c r="E22" s="154"/>
      <c r="F22" s="154"/>
      <c r="G22" s="154"/>
      <c r="H22" s="154"/>
      <c r="I22" s="154"/>
      <c r="J22" s="154"/>
      <c r="K22" s="154"/>
      <c r="L22" s="154"/>
      <c r="M22" s="154"/>
      <c r="N22" s="154"/>
      <c r="O22" s="156"/>
    </row>
    <row r="23" spans="1:15" x14ac:dyDescent="0.25">
      <c r="A23" s="152" t="s">
        <v>14</v>
      </c>
      <c r="B23" s="152" t="s">
        <v>19</v>
      </c>
      <c r="C23" s="152" t="s">
        <v>20</v>
      </c>
      <c r="D23" s="152" t="s">
        <v>21</v>
      </c>
      <c r="E23" s="152" t="s">
        <v>22</v>
      </c>
      <c r="F23" s="152" t="s">
        <v>23</v>
      </c>
      <c r="G23" s="152" t="s">
        <v>24</v>
      </c>
      <c r="H23" s="152" t="s">
        <v>25</v>
      </c>
      <c r="I23" s="152" t="s">
        <v>26</v>
      </c>
      <c r="J23" s="152" t="s">
        <v>27</v>
      </c>
      <c r="K23" s="152" t="s">
        <v>28</v>
      </c>
      <c r="L23" s="152" t="s">
        <v>29</v>
      </c>
      <c r="M23" s="152" t="s">
        <v>17</v>
      </c>
      <c r="N23" s="152" t="s">
        <v>18</v>
      </c>
      <c r="O23" s="156"/>
    </row>
    <row r="24" spans="1:15" ht="14.45" customHeight="1" x14ac:dyDescent="0.25">
      <c r="A24" s="161">
        <v>10</v>
      </c>
      <c r="B24" s="161" t="s">
        <v>65</v>
      </c>
      <c r="C24" s="161"/>
      <c r="D24" s="124">
        <f>0.03*E24^2+5</f>
        <v>6.92</v>
      </c>
      <c r="E24" s="161">
        <v>8</v>
      </c>
      <c r="F24" s="161" t="s">
        <v>30</v>
      </c>
      <c r="G24" s="161"/>
      <c r="H24" s="75"/>
      <c r="I24" s="167"/>
      <c r="J24" s="77"/>
      <c r="K24" s="75"/>
      <c r="L24" s="75"/>
      <c r="M24" s="81">
        <v>3</v>
      </c>
      <c r="N24" s="74">
        <f>M24*D24</f>
        <v>20.759999999999998</v>
      </c>
      <c r="O24" s="156"/>
    </row>
    <row r="25" spans="1:15" s="174" customFormat="1" ht="14.45" customHeight="1" x14ac:dyDescent="0.25">
      <c r="A25" s="161">
        <v>20</v>
      </c>
      <c r="B25" s="168" t="s">
        <v>70</v>
      </c>
      <c r="C25" s="169" t="s">
        <v>71</v>
      </c>
      <c r="D25" s="74"/>
      <c r="E25" s="170"/>
      <c r="F25" s="170"/>
      <c r="G25" s="170"/>
      <c r="H25" s="75"/>
      <c r="I25" s="171"/>
      <c r="J25" s="94"/>
      <c r="K25" s="78"/>
      <c r="L25" s="172"/>
      <c r="M25" s="80"/>
      <c r="N25" s="74">
        <f>M25*D25</f>
        <v>0</v>
      </c>
      <c r="O25" s="173"/>
    </row>
    <row r="26" spans="1:15" ht="14.45" customHeight="1" x14ac:dyDescent="0.25">
      <c r="A26" s="161">
        <v>30</v>
      </c>
      <c r="B26" s="168" t="s">
        <v>70</v>
      </c>
      <c r="C26" s="169" t="s">
        <v>72</v>
      </c>
      <c r="D26" s="74"/>
      <c r="E26" s="161"/>
      <c r="F26" s="161"/>
      <c r="G26" s="161"/>
      <c r="H26" s="75"/>
      <c r="I26" s="80"/>
      <c r="J26" s="81"/>
      <c r="K26" s="75"/>
      <c r="L26" s="172"/>
      <c r="M26" s="75"/>
      <c r="N26" s="74">
        <f>M26*D26</f>
        <v>0</v>
      </c>
      <c r="O26" s="156"/>
    </row>
    <row r="27" spans="1:15" x14ac:dyDescent="0.25">
      <c r="A27" s="175"/>
      <c r="B27" s="176"/>
      <c r="C27" s="176"/>
      <c r="D27" s="176"/>
      <c r="E27" s="176"/>
      <c r="F27" s="176"/>
      <c r="G27" s="176"/>
      <c r="H27" s="176"/>
      <c r="I27" s="176"/>
      <c r="J27" s="176"/>
      <c r="K27" s="176"/>
      <c r="L27" s="176"/>
      <c r="M27" s="152" t="s">
        <v>18</v>
      </c>
      <c r="N27" s="166">
        <f>SUM(N24:N26)</f>
        <v>20.759999999999998</v>
      </c>
      <c r="O27" s="156"/>
    </row>
    <row r="28" spans="1:15" x14ac:dyDescent="0.25">
      <c r="A28" s="160"/>
      <c r="B28" s="154"/>
      <c r="C28" s="154"/>
      <c r="D28" s="154"/>
      <c r="E28" s="154"/>
      <c r="F28" s="154"/>
      <c r="G28" s="154"/>
      <c r="H28" s="154"/>
      <c r="I28" s="154"/>
      <c r="J28" s="154"/>
      <c r="K28" s="154"/>
      <c r="L28" s="154"/>
      <c r="M28" s="154"/>
      <c r="N28" s="154"/>
      <c r="O28" s="156"/>
    </row>
    <row r="29" spans="1:15" s="178" customFormat="1" x14ac:dyDescent="0.25">
      <c r="A29" s="152" t="s">
        <v>14</v>
      </c>
      <c r="B29" s="152" t="s">
        <v>31</v>
      </c>
      <c r="C29" s="152" t="s">
        <v>20</v>
      </c>
      <c r="D29" s="152" t="s">
        <v>21</v>
      </c>
      <c r="E29" s="152" t="s">
        <v>32</v>
      </c>
      <c r="F29" s="152" t="s">
        <v>17</v>
      </c>
      <c r="G29" s="152" t="s">
        <v>33</v>
      </c>
      <c r="H29" s="152" t="s">
        <v>34</v>
      </c>
      <c r="I29" s="152" t="s">
        <v>18</v>
      </c>
      <c r="J29" s="176"/>
      <c r="K29" s="176"/>
      <c r="L29" s="176"/>
      <c r="M29" s="176"/>
      <c r="N29" s="176"/>
      <c r="O29" s="177"/>
    </row>
    <row r="30" spans="1:15" s="180" customFormat="1" x14ac:dyDescent="0.25">
      <c r="A30" s="220">
        <v>10</v>
      </c>
      <c r="B30" s="276" t="s">
        <v>76</v>
      </c>
      <c r="C30" s="221" t="s">
        <v>169</v>
      </c>
      <c r="D30" s="273">
        <v>0.02</v>
      </c>
      <c r="E30" s="220" t="s">
        <v>74</v>
      </c>
      <c r="F30" s="231">
        <v>8.66</v>
      </c>
      <c r="G30" s="231" t="s">
        <v>153</v>
      </c>
      <c r="H30" s="231">
        <v>2</v>
      </c>
      <c r="I30" s="273">
        <f t="shared" ref="I30:I51" si="1">IF(H30="",D30*F30,D30*F30*H30)</f>
        <v>0.34639999999999999</v>
      </c>
      <c r="J30" s="222"/>
      <c r="K30" s="222"/>
      <c r="L30" s="222"/>
      <c r="M30" s="222"/>
      <c r="N30" s="222"/>
      <c r="O30" s="223"/>
    </row>
    <row r="31" spans="1:15" s="180" customFormat="1" x14ac:dyDescent="0.25">
      <c r="A31" s="220">
        <v>20</v>
      </c>
      <c r="B31" s="276" t="s">
        <v>73</v>
      </c>
      <c r="C31" s="221" t="s">
        <v>170</v>
      </c>
      <c r="D31" s="273">
        <v>0.02</v>
      </c>
      <c r="E31" s="220" t="s">
        <v>74</v>
      </c>
      <c r="F31" s="231">
        <v>8.66</v>
      </c>
      <c r="G31" s="231" t="s">
        <v>153</v>
      </c>
      <c r="H31" s="231">
        <v>2</v>
      </c>
      <c r="I31" s="273">
        <f t="shared" si="1"/>
        <v>0.34639999999999999</v>
      </c>
      <c r="J31" s="224"/>
      <c r="K31" s="224"/>
      <c r="L31" s="224"/>
      <c r="M31" s="224"/>
      <c r="N31" s="224"/>
      <c r="O31" s="225"/>
    </row>
    <row r="32" spans="1:15" s="180" customFormat="1" x14ac:dyDescent="0.25">
      <c r="A32" s="220">
        <v>30</v>
      </c>
      <c r="B32" s="276" t="s">
        <v>76</v>
      </c>
      <c r="C32" s="221" t="s">
        <v>172</v>
      </c>
      <c r="D32" s="273">
        <v>0.02</v>
      </c>
      <c r="E32" s="220" t="s">
        <v>74</v>
      </c>
      <c r="F32" s="231">
        <v>8.66</v>
      </c>
      <c r="G32" s="231" t="s">
        <v>153</v>
      </c>
      <c r="H32" s="231">
        <v>2</v>
      </c>
      <c r="I32" s="273">
        <f t="shared" si="1"/>
        <v>0.34639999999999999</v>
      </c>
      <c r="J32" s="222"/>
      <c r="K32" s="222"/>
      <c r="L32" s="222"/>
      <c r="M32" s="222"/>
      <c r="N32" s="222"/>
      <c r="O32" s="223"/>
    </row>
    <row r="33" spans="1:15" s="180" customFormat="1" x14ac:dyDescent="0.25">
      <c r="A33" s="220">
        <v>40</v>
      </c>
      <c r="B33" s="276" t="s">
        <v>154</v>
      </c>
      <c r="C33" s="226" t="s">
        <v>174</v>
      </c>
      <c r="D33" s="273">
        <v>0.06</v>
      </c>
      <c r="E33" s="276" t="s">
        <v>32</v>
      </c>
      <c r="F33" s="231">
        <v>1</v>
      </c>
      <c r="G33" s="231" t="s">
        <v>153</v>
      </c>
      <c r="H33" s="231">
        <v>2</v>
      </c>
      <c r="I33" s="273">
        <f t="shared" si="1"/>
        <v>0.12</v>
      </c>
      <c r="J33" s="224"/>
      <c r="K33" s="224"/>
      <c r="L33" s="224"/>
      <c r="M33" s="224"/>
      <c r="N33" s="224"/>
      <c r="O33" s="225"/>
    </row>
    <row r="34" spans="1:15" s="180" customFormat="1" x14ac:dyDescent="0.25">
      <c r="A34" s="220">
        <v>50</v>
      </c>
      <c r="B34" s="276" t="s">
        <v>76</v>
      </c>
      <c r="C34" s="221" t="s">
        <v>175</v>
      </c>
      <c r="D34" s="273">
        <v>0.02</v>
      </c>
      <c r="E34" s="220" t="s">
        <v>74</v>
      </c>
      <c r="F34" s="231">
        <v>12.43</v>
      </c>
      <c r="G34" s="231" t="s">
        <v>153</v>
      </c>
      <c r="H34" s="231">
        <v>2</v>
      </c>
      <c r="I34" s="273">
        <f t="shared" si="1"/>
        <v>0.49719999999999998</v>
      </c>
      <c r="J34" s="222"/>
      <c r="K34" s="222"/>
      <c r="L34" s="222"/>
      <c r="M34" s="222"/>
      <c r="N34" s="222"/>
      <c r="O34" s="223"/>
    </row>
    <row r="35" spans="1:15" s="180" customFormat="1" x14ac:dyDescent="0.25">
      <c r="A35" s="220">
        <v>60</v>
      </c>
      <c r="B35" s="276" t="s">
        <v>73</v>
      </c>
      <c r="C35" s="221" t="s">
        <v>176</v>
      </c>
      <c r="D35" s="273">
        <v>0.02</v>
      </c>
      <c r="E35" s="220" t="s">
        <v>74</v>
      </c>
      <c r="F35" s="231">
        <v>12.43</v>
      </c>
      <c r="G35" s="231" t="s">
        <v>153</v>
      </c>
      <c r="H35" s="231">
        <v>2</v>
      </c>
      <c r="I35" s="273">
        <f t="shared" si="1"/>
        <v>0.49719999999999998</v>
      </c>
      <c r="J35" s="224"/>
      <c r="K35" s="224"/>
      <c r="L35" s="224"/>
      <c r="M35" s="224"/>
      <c r="N35" s="224"/>
      <c r="O35" s="225"/>
    </row>
    <row r="36" spans="1:15" s="180" customFormat="1" x14ac:dyDescent="0.25">
      <c r="A36" s="220">
        <v>70</v>
      </c>
      <c r="B36" s="276" t="s">
        <v>76</v>
      </c>
      <c r="C36" s="221" t="s">
        <v>155</v>
      </c>
      <c r="D36" s="273">
        <v>0.02</v>
      </c>
      <c r="E36" s="220" t="s">
        <v>74</v>
      </c>
      <c r="F36" s="231">
        <v>12.43</v>
      </c>
      <c r="G36" s="231" t="s">
        <v>153</v>
      </c>
      <c r="H36" s="231">
        <v>2</v>
      </c>
      <c r="I36" s="273">
        <f t="shared" si="1"/>
        <v>0.49719999999999998</v>
      </c>
      <c r="J36" s="222"/>
      <c r="K36" s="222"/>
      <c r="L36" s="222"/>
      <c r="M36" s="222"/>
      <c r="N36" s="222"/>
      <c r="O36" s="223"/>
    </row>
    <row r="37" spans="1:15" s="180" customFormat="1" x14ac:dyDescent="0.25">
      <c r="A37" s="220">
        <v>80</v>
      </c>
      <c r="B37" s="276" t="s">
        <v>154</v>
      </c>
      <c r="C37" s="226" t="s">
        <v>177</v>
      </c>
      <c r="D37" s="273">
        <v>0.14000000000000001</v>
      </c>
      <c r="E37" s="276" t="s">
        <v>32</v>
      </c>
      <c r="F37" s="231">
        <v>1</v>
      </c>
      <c r="G37" s="231" t="s">
        <v>153</v>
      </c>
      <c r="H37" s="231">
        <v>2</v>
      </c>
      <c r="I37" s="273">
        <f t="shared" si="1"/>
        <v>0.28000000000000003</v>
      </c>
      <c r="J37" s="227"/>
      <c r="K37" s="227"/>
      <c r="L37" s="227"/>
      <c r="M37" s="227"/>
      <c r="N37" s="227"/>
      <c r="O37" s="228"/>
    </row>
    <row r="38" spans="1:15" s="180" customFormat="1" x14ac:dyDescent="0.25">
      <c r="A38" s="220">
        <v>90</v>
      </c>
      <c r="B38" s="276" t="s">
        <v>76</v>
      </c>
      <c r="C38" s="221" t="s">
        <v>171</v>
      </c>
      <c r="D38" s="273">
        <v>0.02</v>
      </c>
      <c r="E38" s="220" t="s">
        <v>74</v>
      </c>
      <c r="F38" s="231">
        <v>12.43</v>
      </c>
      <c r="G38" s="231" t="s">
        <v>153</v>
      </c>
      <c r="H38" s="231">
        <v>2</v>
      </c>
      <c r="I38" s="273">
        <f t="shared" si="1"/>
        <v>0.49719999999999998</v>
      </c>
      <c r="J38" s="222"/>
      <c r="K38" s="222"/>
      <c r="L38" s="222"/>
      <c r="M38" s="222"/>
      <c r="N38" s="222"/>
      <c r="O38" s="223"/>
    </row>
    <row r="39" spans="1:15" s="180" customFormat="1" x14ac:dyDescent="0.25">
      <c r="A39" s="220">
        <v>100</v>
      </c>
      <c r="B39" s="276" t="s">
        <v>73</v>
      </c>
      <c r="C39" s="221" t="s">
        <v>173</v>
      </c>
      <c r="D39" s="273">
        <v>0.18</v>
      </c>
      <c r="E39" s="220" t="s">
        <v>74</v>
      </c>
      <c r="F39" s="231">
        <v>12.43</v>
      </c>
      <c r="G39" s="231" t="s">
        <v>153</v>
      </c>
      <c r="H39" s="231">
        <v>2</v>
      </c>
      <c r="I39" s="273">
        <f t="shared" si="1"/>
        <v>4.4748000000000001</v>
      </c>
      <c r="J39" s="227"/>
      <c r="K39" s="227"/>
      <c r="L39" s="227"/>
      <c r="M39" s="227"/>
      <c r="N39" s="227"/>
      <c r="O39" s="223"/>
    </row>
    <row r="40" spans="1:15" s="180" customFormat="1" x14ac:dyDescent="0.25">
      <c r="A40" s="220">
        <v>110</v>
      </c>
      <c r="B40" s="276" t="s">
        <v>76</v>
      </c>
      <c r="C40" s="221" t="s">
        <v>155</v>
      </c>
      <c r="D40" s="273">
        <v>0.02</v>
      </c>
      <c r="E40" s="220" t="s">
        <v>74</v>
      </c>
      <c r="F40" s="231">
        <v>12.43</v>
      </c>
      <c r="G40" s="231" t="s">
        <v>153</v>
      </c>
      <c r="H40" s="231">
        <v>2</v>
      </c>
      <c r="I40" s="273">
        <f t="shared" si="1"/>
        <v>0.49719999999999998</v>
      </c>
      <c r="J40" s="222"/>
      <c r="K40" s="222"/>
      <c r="L40" s="222"/>
      <c r="M40" s="222"/>
      <c r="N40" s="222"/>
      <c r="O40" s="223"/>
    </row>
    <row r="41" spans="1:15" s="180" customFormat="1" ht="30" x14ac:dyDescent="0.25">
      <c r="A41" s="220">
        <v>120</v>
      </c>
      <c r="B41" s="276" t="s">
        <v>154</v>
      </c>
      <c r="C41" s="226" t="s">
        <v>178</v>
      </c>
      <c r="D41" s="273">
        <v>0.22</v>
      </c>
      <c r="E41" s="276" t="s">
        <v>32</v>
      </c>
      <c r="F41" s="231">
        <v>1</v>
      </c>
      <c r="G41" s="231" t="s">
        <v>153</v>
      </c>
      <c r="H41" s="231">
        <v>2</v>
      </c>
      <c r="I41" s="273">
        <f t="shared" si="1"/>
        <v>0.44</v>
      </c>
      <c r="J41" s="227"/>
      <c r="K41" s="227"/>
      <c r="L41" s="227"/>
      <c r="M41" s="227"/>
      <c r="N41" s="227"/>
      <c r="O41" s="223"/>
    </row>
    <row r="42" spans="1:15" s="180" customFormat="1" x14ac:dyDescent="0.25">
      <c r="A42" s="220">
        <v>130</v>
      </c>
      <c r="B42" s="276" t="s">
        <v>76</v>
      </c>
      <c r="C42" s="221" t="s">
        <v>156</v>
      </c>
      <c r="D42" s="273">
        <v>0.02</v>
      </c>
      <c r="E42" s="220" t="s">
        <v>74</v>
      </c>
      <c r="F42" s="231">
        <v>4.01</v>
      </c>
      <c r="G42" s="231" t="s">
        <v>157</v>
      </c>
      <c r="H42" s="231">
        <v>3</v>
      </c>
      <c r="I42" s="273">
        <f t="shared" si="1"/>
        <v>0.24059999999999998</v>
      </c>
      <c r="J42" s="222"/>
      <c r="K42" s="222"/>
      <c r="L42" s="222"/>
      <c r="M42" s="222"/>
      <c r="N42" s="222"/>
      <c r="O42" s="223"/>
    </row>
    <row r="43" spans="1:15" s="180" customFormat="1" x14ac:dyDescent="0.25">
      <c r="A43" s="220">
        <v>140</v>
      </c>
      <c r="B43" s="229" t="s">
        <v>73</v>
      </c>
      <c r="C43" s="221" t="s">
        <v>158</v>
      </c>
      <c r="D43" s="273">
        <v>0.02</v>
      </c>
      <c r="E43" s="220" t="s">
        <v>74</v>
      </c>
      <c r="F43" s="231">
        <v>4.01</v>
      </c>
      <c r="G43" s="231" t="s">
        <v>157</v>
      </c>
      <c r="H43" s="231">
        <v>3</v>
      </c>
      <c r="I43" s="273">
        <f t="shared" si="1"/>
        <v>0.24059999999999998</v>
      </c>
      <c r="J43" s="227"/>
      <c r="K43" s="227"/>
      <c r="L43" s="227"/>
      <c r="M43" s="227"/>
      <c r="N43" s="227"/>
      <c r="O43" s="223"/>
    </row>
    <row r="44" spans="1:15" s="180" customFormat="1" x14ac:dyDescent="0.25">
      <c r="A44" s="220">
        <v>150</v>
      </c>
      <c r="B44" s="276" t="s">
        <v>154</v>
      </c>
      <c r="C44" s="221" t="s">
        <v>159</v>
      </c>
      <c r="D44" s="273">
        <v>0.3</v>
      </c>
      <c r="E44" s="276" t="s">
        <v>32</v>
      </c>
      <c r="F44" s="231">
        <v>1</v>
      </c>
      <c r="G44" s="231" t="s">
        <v>157</v>
      </c>
      <c r="H44" s="231">
        <v>3</v>
      </c>
      <c r="I44" s="273">
        <f t="shared" si="1"/>
        <v>0.89999999999999991</v>
      </c>
      <c r="J44" s="227"/>
      <c r="K44" s="227"/>
      <c r="L44" s="227"/>
      <c r="M44" s="227"/>
      <c r="N44" s="227"/>
      <c r="O44" s="223"/>
    </row>
    <row r="45" spans="1:15" s="180" customFormat="1" x14ac:dyDescent="0.25">
      <c r="A45" s="220">
        <v>160</v>
      </c>
      <c r="B45" s="220" t="s">
        <v>160</v>
      </c>
      <c r="C45" s="221" t="s">
        <v>161</v>
      </c>
      <c r="D45" s="273">
        <v>0.15</v>
      </c>
      <c r="E45" s="220" t="s">
        <v>74</v>
      </c>
      <c r="F45" s="231">
        <v>22</v>
      </c>
      <c r="G45" s="231"/>
      <c r="H45" s="215"/>
      <c r="I45" s="273">
        <f t="shared" si="1"/>
        <v>3.3</v>
      </c>
      <c r="J45" s="227"/>
      <c r="K45" s="227"/>
      <c r="L45" s="227"/>
      <c r="M45" s="227"/>
      <c r="N45" s="227"/>
      <c r="O45" s="223"/>
    </row>
    <row r="46" spans="1:15" s="180" customFormat="1" x14ac:dyDescent="0.25">
      <c r="A46" s="220">
        <v>170</v>
      </c>
      <c r="B46" s="276" t="s">
        <v>162</v>
      </c>
      <c r="C46" s="226" t="s">
        <v>163</v>
      </c>
      <c r="D46" s="273">
        <v>5.25</v>
      </c>
      <c r="E46" s="276" t="s">
        <v>77</v>
      </c>
      <c r="F46" s="231">
        <v>0.01</v>
      </c>
      <c r="G46" s="231"/>
      <c r="H46" s="215"/>
      <c r="I46" s="273">
        <f t="shared" si="1"/>
        <v>5.2499999999999998E-2</v>
      </c>
      <c r="J46" s="227"/>
      <c r="K46" s="227"/>
      <c r="L46" s="227"/>
      <c r="M46" s="230"/>
      <c r="N46" s="227"/>
      <c r="O46" s="223"/>
    </row>
    <row r="47" spans="1:15" s="180" customFormat="1" x14ac:dyDescent="0.25">
      <c r="A47" s="220">
        <v>180</v>
      </c>
      <c r="B47" s="220" t="s">
        <v>154</v>
      </c>
      <c r="C47" s="221" t="s">
        <v>164</v>
      </c>
      <c r="D47" s="273">
        <v>0.14000000000000001</v>
      </c>
      <c r="E47" s="220" t="s">
        <v>32</v>
      </c>
      <c r="F47" s="231">
        <v>1</v>
      </c>
      <c r="G47" s="231"/>
      <c r="H47" s="215"/>
      <c r="I47" s="273">
        <f t="shared" si="1"/>
        <v>0.14000000000000001</v>
      </c>
      <c r="J47" s="227"/>
      <c r="K47" s="227"/>
      <c r="L47" s="227"/>
      <c r="M47" s="227"/>
      <c r="N47" s="227"/>
      <c r="O47" s="223"/>
    </row>
    <row r="48" spans="1:15" s="180" customFormat="1" x14ac:dyDescent="0.25">
      <c r="A48" s="220">
        <v>190</v>
      </c>
      <c r="B48" s="276" t="s">
        <v>75</v>
      </c>
      <c r="C48" s="226" t="s">
        <v>165</v>
      </c>
      <c r="D48" s="273">
        <v>0.13</v>
      </c>
      <c r="E48" s="276" t="s">
        <v>32</v>
      </c>
      <c r="F48" s="231">
        <v>4</v>
      </c>
      <c r="G48" s="231"/>
      <c r="H48" s="215"/>
      <c r="I48" s="273">
        <f t="shared" si="1"/>
        <v>0.52</v>
      </c>
      <c r="J48" s="227"/>
      <c r="K48" s="227"/>
      <c r="L48" s="227"/>
      <c r="M48" s="227"/>
      <c r="N48" s="227"/>
      <c r="O48" s="223"/>
    </row>
    <row r="49" spans="1:15" s="180" customFormat="1" x14ac:dyDescent="0.25">
      <c r="A49" s="220">
        <v>200</v>
      </c>
      <c r="B49" s="276" t="s">
        <v>75</v>
      </c>
      <c r="C49" s="226" t="s">
        <v>166</v>
      </c>
      <c r="D49" s="273">
        <v>0.13</v>
      </c>
      <c r="E49" s="276" t="s">
        <v>32</v>
      </c>
      <c r="F49" s="231">
        <v>8</v>
      </c>
      <c r="G49" s="231"/>
      <c r="H49" s="215"/>
      <c r="I49" s="273">
        <f t="shared" si="1"/>
        <v>1.04</v>
      </c>
      <c r="J49" s="227"/>
      <c r="K49" s="227"/>
      <c r="L49" s="227"/>
      <c r="M49" s="227"/>
      <c r="N49" s="227"/>
      <c r="O49" s="223"/>
    </row>
    <row r="50" spans="1:15" s="180" customFormat="1" x14ac:dyDescent="0.25">
      <c r="A50" s="220">
        <v>210</v>
      </c>
      <c r="B50" s="220" t="s">
        <v>78</v>
      </c>
      <c r="C50" s="221" t="s">
        <v>167</v>
      </c>
      <c r="D50" s="273">
        <v>0.13</v>
      </c>
      <c r="E50" s="220" t="s">
        <v>32</v>
      </c>
      <c r="F50" s="231">
        <v>2</v>
      </c>
      <c r="G50" s="231"/>
      <c r="H50" s="215"/>
      <c r="I50" s="273">
        <f t="shared" si="1"/>
        <v>0.26</v>
      </c>
      <c r="J50" s="227"/>
      <c r="K50" s="227"/>
      <c r="L50" s="227"/>
      <c r="M50" s="227"/>
      <c r="N50" s="227"/>
      <c r="O50" s="223"/>
    </row>
    <row r="51" spans="1:15" s="180" customFormat="1" x14ac:dyDescent="0.25">
      <c r="A51" s="220">
        <v>220</v>
      </c>
      <c r="B51" s="276" t="s">
        <v>79</v>
      </c>
      <c r="C51" s="226" t="s">
        <v>168</v>
      </c>
      <c r="D51" s="273">
        <v>0.25</v>
      </c>
      <c r="E51" s="276" t="s">
        <v>32</v>
      </c>
      <c r="F51" s="231">
        <v>2</v>
      </c>
      <c r="G51" s="231"/>
      <c r="H51" s="215"/>
      <c r="I51" s="273">
        <f t="shared" si="1"/>
        <v>0.5</v>
      </c>
      <c r="J51" s="227"/>
      <c r="K51" s="227"/>
      <c r="L51" s="227"/>
      <c r="M51" s="227"/>
      <c r="N51" s="227"/>
      <c r="O51" s="228"/>
    </row>
    <row r="52" spans="1:15" x14ac:dyDescent="0.25">
      <c r="A52" s="175"/>
      <c r="B52" s="176"/>
      <c r="C52" s="176"/>
      <c r="D52" s="176"/>
      <c r="E52" s="176"/>
      <c r="F52" s="176"/>
      <c r="G52" s="176"/>
      <c r="H52" s="165" t="s">
        <v>18</v>
      </c>
      <c r="I52" s="166">
        <f>SUM(I30:I51)</f>
        <v>16.033700000000003</v>
      </c>
      <c r="J52" s="154"/>
      <c r="K52" s="154"/>
      <c r="L52" s="154"/>
      <c r="M52" s="154"/>
      <c r="N52" s="154"/>
      <c r="O52" s="156"/>
    </row>
    <row r="53" spans="1:15" x14ac:dyDescent="0.25">
      <c r="A53" s="160"/>
      <c r="B53" s="154"/>
      <c r="C53" s="154"/>
      <c r="D53" s="154"/>
      <c r="E53" s="154"/>
      <c r="F53" s="154"/>
      <c r="G53" s="154"/>
      <c r="H53" s="154"/>
      <c r="I53" s="154"/>
      <c r="J53" s="154"/>
      <c r="K53" s="154"/>
      <c r="L53" s="154"/>
      <c r="M53" s="154"/>
      <c r="N53" s="154"/>
      <c r="O53" s="156"/>
    </row>
    <row r="54" spans="1:15" x14ac:dyDescent="0.25">
      <c r="A54" s="152" t="s">
        <v>14</v>
      </c>
      <c r="B54" s="152" t="s">
        <v>36</v>
      </c>
      <c r="C54" s="152" t="s">
        <v>20</v>
      </c>
      <c r="D54" s="152" t="s">
        <v>21</v>
      </c>
      <c r="E54" s="152" t="s">
        <v>22</v>
      </c>
      <c r="F54" s="152" t="s">
        <v>23</v>
      </c>
      <c r="G54" s="152" t="s">
        <v>24</v>
      </c>
      <c r="H54" s="152" t="s">
        <v>25</v>
      </c>
      <c r="I54" s="152" t="s">
        <v>17</v>
      </c>
      <c r="J54" s="152" t="s">
        <v>18</v>
      </c>
      <c r="K54" s="154"/>
      <c r="L54" s="154"/>
      <c r="M54" s="154"/>
      <c r="N54" s="154"/>
      <c r="O54" s="156"/>
    </row>
    <row r="55" spans="1:15" x14ac:dyDescent="0.25">
      <c r="A55" s="168">
        <v>10</v>
      </c>
      <c r="B55" s="168" t="s">
        <v>80</v>
      </c>
      <c r="C55" s="168" t="s">
        <v>81</v>
      </c>
      <c r="D55" s="181">
        <f>0.8/105154*E55^2*G55*SQRT(G55)+(0.003*EXP(0.319*E55))</f>
        <v>0.16167651505774214</v>
      </c>
      <c r="E55" s="168">
        <v>8</v>
      </c>
      <c r="F55" s="127" t="s">
        <v>30</v>
      </c>
      <c r="G55" s="182">
        <v>40</v>
      </c>
      <c r="H55" s="179" t="s">
        <v>30</v>
      </c>
      <c r="I55" s="128">
        <v>2</v>
      </c>
      <c r="J55" s="129">
        <f>D55*I55</f>
        <v>0.32335303011548427</v>
      </c>
      <c r="K55" s="154"/>
      <c r="L55" s="154"/>
      <c r="M55" s="154"/>
      <c r="N55" s="154"/>
      <c r="O55" s="156"/>
    </row>
    <row r="56" spans="1:15" x14ac:dyDescent="0.25">
      <c r="A56" s="168">
        <v>20</v>
      </c>
      <c r="B56" s="168" t="s">
        <v>82</v>
      </c>
      <c r="C56" s="168" t="s">
        <v>83</v>
      </c>
      <c r="D56" s="183">
        <f>(0.009*EXP(0.2*E56))</f>
        <v>4.4577291819556032E-2</v>
      </c>
      <c r="E56" s="168">
        <v>8</v>
      </c>
      <c r="F56" s="127" t="s">
        <v>30</v>
      </c>
      <c r="G56" s="168"/>
      <c r="H56" s="179"/>
      <c r="I56" s="130">
        <v>2</v>
      </c>
      <c r="J56" s="126">
        <f>D56*I56</f>
        <v>8.9154583639112064E-2</v>
      </c>
      <c r="K56" s="154"/>
      <c r="L56" s="154"/>
      <c r="M56" s="154"/>
      <c r="N56" s="154"/>
      <c r="O56" s="156"/>
    </row>
    <row r="57" spans="1:15" x14ac:dyDescent="0.25">
      <c r="A57" s="168">
        <v>30</v>
      </c>
      <c r="B57" s="168" t="s">
        <v>84</v>
      </c>
      <c r="C57" s="168" t="s">
        <v>85</v>
      </c>
      <c r="D57" s="168">
        <v>0.01</v>
      </c>
      <c r="E57" s="168">
        <v>8</v>
      </c>
      <c r="F57" s="127" t="s">
        <v>30</v>
      </c>
      <c r="G57" s="168"/>
      <c r="H57" s="179"/>
      <c r="I57" s="130">
        <v>4</v>
      </c>
      <c r="J57" s="126">
        <f>D57*I57</f>
        <v>0.04</v>
      </c>
      <c r="K57" s="184"/>
      <c r="L57" s="184"/>
      <c r="M57" s="184"/>
      <c r="N57" s="184"/>
      <c r="O57" s="156"/>
    </row>
    <row r="58" spans="1:15" x14ac:dyDescent="0.25">
      <c r="A58" s="175"/>
      <c r="B58" s="176"/>
      <c r="C58" s="176"/>
      <c r="D58" s="176"/>
      <c r="E58" s="176"/>
      <c r="F58" s="176"/>
      <c r="G58" s="176"/>
      <c r="H58" s="176"/>
      <c r="I58" s="165" t="s">
        <v>18</v>
      </c>
      <c r="J58" s="166">
        <f>SUM(J55:J57)</f>
        <v>0.45250761375459631</v>
      </c>
      <c r="K58" s="154"/>
      <c r="L58" s="154"/>
      <c r="M58" s="154"/>
      <c r="N58" s="154"/>
      <c r="O58" s="156"/>
    </row>
    <row r="59" spans="1:15" x14ac:dyDescent="0.25">
      <c r="A59" s="160"/>
      <c r="B59" s="154"/>
      <c r="C59" s="154"/>
      <c r="D59" s="154"/>
      <c r="E59" s="154"/>
      <c r="F59" s="154"/>
      <c r="G59" s="154"/>
      <c r="H59" s="154"/>
      <c r="I59" s="154"/>
      <c r="J59" s="154"/>
      <c r="K59" s="154"/>
      <c r="L59" s="154"/>
      <c r="M59" s="154"/>
      <c r="N59" s="154"/>
      <c r="O59" s="156"/>
    </row>
    <row r="60" spans="1:15" s="180" customFormat="1" x14ac:dyDescent="0.25">
      <c r="A60" s="95" t="s">
        <v>14</v>
      </c>
      <c r="B60" s="95" t="s">
        <v>179</v>
      </c>
      <c r="C60" s="95" t="s">
        <v>20</v>
      </c>
      <c r="D60" s="95" t="s">
        <v>21</v>
      </c>
      <c r="E60" s="95" t="s">
        <v>32</v>
      </c>
      <c r="F60" s="95" t="s">
        <v>17</v>
      </c>
      <c r="G60" s="95" t="s">
        <v>180</v>
      </c>
      <c r="H60" s="95" t="s">
        <v>181</v>
      </c>
      <c r="I60" s="95" t="s">
        <v>18</v>
      </c>
      <c r="J60" s="222"/>
      <c r="K60" s="224"/>
      <c r="L60" s="224"/>
      <c r="M60" s="224"/>
      <c r="N60" s="224"/>
      <c r="O60" s="225"/>
    </row>
    <row r="61" spans="1:15" s="180" customFormat="1" x14ac:dyDescent="0.25">
      <c r="A61" s="220">
        <v>10</v>
      </c>
      <c r="B61" s="220" t="s">
        <v>182</v>
      </c>
      <c r="C61" s="220" t="s">
        <v>183</v>
      </c>
      <c r="D61" s="272">
        <v>500</v>
      </c>
      <c r="E61" s="220" t="s">
        <v>184</v>
      </c>
      <c r="F61" s="220">
        <f>8</f>
        <v>8</v>
      </c>
      <c r="G61" s="220">
        <v>3000</v>
      </c>
      <c r="H61" s="220">
        <v>1</v>
      </c>
      <c r="I61" s="274">
        <f>D61*F61/G61*H61</f>
        <v>1.3333333333333333</v>
      </c>
      <c r="J61" s="222"/>
      <c r="K61" s="224"/>
      <c r="L61" s="224"/>
      <c r="M61" s="224"/>
      <c r="N61" s="224"/>
      <c r="O61" s="225"/>
    </row>
    <row r="62" spans="1:15" s="180" customFormat="1" x14ac:dyDescent="0.25">
      <c r="A62" s="244"/>
      <c r="B62" s="222"/>
      <c r="C62" s="222"/>
      <c r="D62" s="222"/>
      <c r="E62" s="222"/>
      <c r="F62" s="222"/>
      <c r="G62" s="222"/>
      <c r="H62" s="246" t="s">
        <v>18</v>
      </c>
      <c r="I62" s="245">
        <f>SUM(I61:I61)</f>
        <v>1.3333333333333333</v>
      </c>
      <c r="J62" s="222"/>
      <c r="K62" s="224"/>
      <c r="L62" s="224"/>
      <c r="M62" s="224"/>
      <c r="N62" s="224"/>
      <c r="O62" s="225"/>
    </row>
    <row r="63" spans="1:15" ht="15.75" thickBot="1" x14ac:dyDescent="0.3">
      <c r="A63" s="185"/>
      <c r="B63" s="186"/>
      <c r="C63" s="186"/>
      <c r="D63" s="186"/>
      <c r="E63" s="186"/>
      <c r="F63" s="186"/>
      <c r="G63" s="186"/>
      <c r="H63" s="186"/>
      <c r="I63" s="186"/>
      <c r="J63" s="186"/>
      <c r="K63" s="186"/>
      <c r="L63" s="186"/>
      <c r="M63" s="186"/>
      <c r="N63" s="186"/>
      <c r="O63" s="187"/>
    </row>
    <row r="64" spans="1:15" x14ac:dyDescent="0.25">
      <c r="A64" s="154"/>
      <c r="B64" s="154"/>
      <c r="C64" s="154"/>
      <c r="D64" s="154"/>
      <c r="E64" s="154"/>
      <c r="F64" s="154"/>
      <c r="G64" s="154"/>
      <c r="H64" s="154"/>
      <c r="I64" s="154"/>
      <c r="J64" s="154"/>
      <c r="K64" s="154"/>
      <c r="L64" s="154"/>
      <c r="M64" s="154"/>
      <c r="N64" s="154"/>
    </row>
  </sheetData>
  <hyperlinks>
    <hyperlink ref="B10" location="SU_03001" display="SU_03001" xr:uid="{00000000-0004-0000-2B00-000000000000}"/>
    <hyperlink ref="B11:B13" location="BR_01001" display="BR_01001" xr:uid="{00000000-0004-0000-2B00-000001000000}"/>
    <hyperlink ref="B14" location="SU_03005" display="SU_03005" xr:uid="{00000000-0004-0000-2B00-000002000000}"/>
    <hyperlink ref="B16" location="SU_03007" display="SU_03007" xr:uid="{00000000-0004-0000-2B00-000003000000}"/>
    <hyperlink ref="B11" location="SU_03002" display="SU_03002" xr:uid="{00000000-0004-0000-2B00-000004000000}"/>
    <hyperlink ref="B12" location="SU_03003" display="SU_03003" xr:uid="{00000000-0004-0000-2B00-000005000000}"/>
    <hyperlink ref="B13" location="SU_03004" display="SU_03004" xr:uid="{00000000-0004-0000-2B00-000006000000}"/>
    <hyperlink ref="B15" location="SU_03006" display="SU_03006" xr:uid="{00000000-0004-0000-2B00-000007000000}"/>
    <hyperlink ref="E2" location="SU_A0300_BOM" display="Back to BOM" xr:uid="{00000000-0004-0000-2B00-000008000000}"/>
    <hyperlink ref="B17" location="SU_02008" display="SU_02008" xr:uid="{00000000-0004-0000-2B00-000009000000}"/>
    <hyperlink ref="B18" location="SU_02009" display="SU_02009" xr:uid="{00000000-0004-0000-2B00-00000A000000}"/>
    <hyperlink ref="B19" location="SU_02010" display="SU_02010" xr:uid="{00000000-0004-0000-2B00-00000B000000}"/>
    <hyperlink ref="B20" location="SU_02011" display="SU_02011" xr:uid="{00000000-0004-0000-2B00-00000C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1" firstPageNumber="0" fitToHeight="99" orientation="landscape" r:id="rId1"/>
  <headerFooter>
    <oddFooter>Page &amp;P</oddFooter>
  </headerFooter>
  <rowBreaks count="1" manualBreakCount="1">
    <brk id="63" max="16383" man="1"/>
  </rowBreaks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sheetPr>
    <tabColor rgb="FFFFFF66"/>
    <pageSetUpPr fitToPage="1"/>
  </sheetPr>
  <dimension ref="A1:S27"/>
  <sheetViews>
    <sheetView zoomScale="106" zoomScaleNormal="106" zoomScalePageLayoutView="70" workbookViewId="0">
      <selection activeCell="E2" sqref="E2"/>
    </sheetView>
  </sheetViews>
  <sheetFormatPr baseColWidth="10" defaultColWidth="9.140625" defaultRowHeight="15" x14ac:dyDescent="0.25"/>
  <cols>
    <col min="1" max="1" width="9.140625" style="151"/>
    <col min="2" max="2" width="17.28515625" style="151" customWidth="1"/>
    <col min="3" max="3" width="29.7109375" style="151" customWidth="1"/>
    <col min="4" max="9" width="9.140625" style="151"/>
    <col min="10" max="10" width="12.5703125" style="151" customWidth="1"/>
    <col min="11" max="14" width="9.140625" style="151"/>
    <col min="15" max="15" width="3.140625" style="151" customWidth="1"/>
    <col min="16" max="17" width="9.140625" style="151"/>
    <col min="18" max="19" width="16.28515625" style="151" bestFit="1" customWidth="1"/>
    <col min="20" max="16384" width="9.140625" style="151"/>
  </cols>
  <sheetData>
    <row r="1" spans="1:19" x14ac:dyDescent="0.25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9" x14ac:dyDescent="0.25">
      <c r="A2" s="188" t="s">
        <v>0</v>
      </c>
      <c r="B2" s="153" t="s">
        <v>37</v>
      </c>
      <c r="C2" s="154"/>
      <c r="D2" s="154"/>
      <c r="E2" s="154"/>
      <c r="F2" s="154"/>
      <c r="G2" s="87" t="s">
        <v>62</v>
      </c>
      <c r="H2" s="154"/>
      <c r="I2" s="154"/>
      <c r="J2" s="189" t="s">
        <v>1</v>
      </c>
      <c r="K2" s="155">
        <v>81</v>
      </c>
      <c r="L2" s="154"/>
      <c r="M2" s="188" t="s">
        <v>16</v>
      </c>
      <c r="N2" s="74">
        <f>SU_03001_m+SU_03001_p</f>
        <v>16.4854905344</v>
      </c>
      <c r="O2" s="156"/>
    </row>
    <row r="3" spans="1:19" x14ac:dyDescent="0.25">
      <c r="A3" s="188" t="s">
        <v>3</v>
      </c>
      <c r="B3" s="153" t="str">
        <f>'SU A0300'!B3</f>
        <v>Suspension &amp; Shocks</v>
      </c>
      <c r="C3" s="154"/>
      <c r="D3" s="188" t="s">
        <v>6</v>
      </c>
      <c r="E3" s="88" t="s">
        <v>60</v>
      </c>
      <c r="F3" s="154"/>
      <c r="G3" s="154"/>
      <c r="H3" s="154"/>
      <c r="I3" s="154"/>
      <c r="J3" s="154"/>
      <c r="K3" s="154"/>
      <c r="L3" s="154"/>
      <c r="M3" s="188" t="s">
        <v>4</v>
      </c>
      <c r="N3" s="82">
        <v>1</v>
      </c>
      <c r="O3" s="156"/>
    </row>
    <row r="4" spans="1:19" x14ac:dyDescent="0.25">
      <c r="A4" s="188" t="s">
        <v>5</v>
      </c>
      <c r="B4" s="87" t="s">
        <v>126</v>
      </c>
      <c r="C4" s="154"/>
      <c r="D4" s="188" t="s">
        <v>8</v>
      </c>
      <c r="E4" s="154"/>
      <c r="F4" s="154"/>
      <c r="G4" s="154"/>
      <c r="H4" s="154"/>
      <c r="I4" s="154"/>
      <c r="J4" s="190" t="s">
        <v>6</v>
      </c>
      <c r="K4" s="154"/>
      <c r="L4" s="154"/>
      <c r="M4" s="154"/>
      <c r="N4" s="154"/>
      <c r="O4" s="156"/>
    </row>
    <row r="5" spans="1:19" x14ac:dyDescent="0.25">
      <c r="A5" s="188" t="s">
        <v>15</v>
      </c>
      <c r="B5" s="159" t="s">
        <v>128</v>
      </c>
      <c r="C5" s="154"/>
      <c r="D5" s="188" t="s">
        <v>12</v>
      </c>
      <c r="E5" s="154"/>
      <c r="F5" s="154"/>
      <c r="G5" s="154"/>
      <c r="H5" s="154"/>
      <c r="I5" s="154"/>
      <c r="J5" s="190" t="s">
        <v>8</v>
      </c>
      <c r="K5" s="154"/>
      <c r="L5" s="154"/>
      <c r="M5" s="188" t="s">
        <v>9</v>
      </c>
      <c r="N5" s="74">
        <f>N3*N2</f>
        <v>16.4854905344</v>
      </c>
      <c r="O5" s="156"/>
    </row>
    <row r="6" spans="1:19" x14ac:dyDescent="0.25">
      <c r="A6" s="188" t="s">
        <v>7</v>
      </c>
      <c r="B6" s="191" t="s">
        <v>132</v>
      </c>
      <c r="C6" s="154"/>
      <c r="D6" s="154"/>
      <c r="E6" s="154"/>
      <c r="F6" s="154"/>
      <c r="G6" s="154"/>
      <c r="H6" s="154"/>
      <c r="I6" s="154"/>
      <c r="J6" s="190" t="s">
        <v>12</v>
      </c>
      <c r="K6" s="154"/>
      <c r="L6" s="154"/>
      <c r="M6" s="154"/>
      <c r="N6" s="154"/>
      <c r="O6" s="156"/>
    </row>
    <row r="7" spans="1:19" x14ac:dyDescent="0.25">
      <c r="A7" s="188" t="s">
        <v>10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9" x14ac:dyDescent="0.25">
      <c r="A8" s="188" t="s">
        <v>13</v>
      </c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9" x14ac:dyDescent="0.25">
      <c r="A9" s="192"/>
      <c r="B9" s="193"/>
      <c r="C9" s="193"/>
      <c r="D9" s="193"/>
      <c r="E9" s="193"/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9" x14ac:dyDescent="0.25">
      <c r="A10" s="194" t="s">
        <v>14</v>
      </c>
      <c r="B10" s="195" t="s">
        <v>19</v>
      </c>
      <c r="C10" s="195" t="s">
        <v>20</v>
      </c>
      <c r="D10" s="195" t="s">
        <v>21</v>
      </c>
      <c r="E10" s="195" t="s">
        <v>22</v>
      </c>
      <c r="F10" s="196" t="s">
        <v>23</v>
      </c>
      <c r="G10" s="196" t="s">
        <v>24</v>
      </c>
      <c r="H10" s="196" t="s">
        <v>25</v>
      </c>
      <c r="I10" s="196" t="s">
        <v>26</v>
      </c>
      <c r="J10" s="196" t="s">
        <v>27</v>
      </c>
      <c r="K10" s="196" t="s">
        <v>28</v>
      </c>
      <c r="L10" s="196" t="s">
        <v>29</v>
      </c>
      <c r="M10" s="196" t="s">
        <v>17</v>
      </c>
      <c r="N10" s="196" t="s">
        <v>18</v>
      </c>
      <c r="O10" s="156"/>
    </row>
    <row r="11" spans="1:19" s="174" customFormat="1" x14ac:dyDescent="0.25">
      <c r="A11" s="85">
        <v>10</v>
      </c>
      <c r="B11" s="26" t="s">
        <v>66</v>
      </c>
      <c r="C11" s="20" t="s">
        <v>38</v>
      </c>
      <c r="D11" s="277">
        <f>4.2</f>
        <v>4.2</v>
      </c>
      <c r="E11" s="199"/>
      <c r="F11" s="199"/>
      <c r="G11" s="199"/>
      <c r="H11" s="19"/>
      <c r="I11" s="200" t="s">
        <v>67</v>
      </c>
      <c r="J11" s="247">
        <f>63*62/1000000</f>
        <v>3.9060000000000002E-3</v>
      </c>
      <c r="K11" s="574">
        <v>5.6000000000000001E-2</v>
      </c>
      <c r="L11" s="172">
        <v>2712</v>
      </c>
      <c r="M11" s="23">
        <v>1</v>
      </c>
      <c r="N11" s="30">
        <f>D11*M11*L11*K11*J11</f>
        <v>2.4914905344</v>
      </c>
      <c r="O11" s="173"/>
    </row>
    <row r="12" spans="1:19" x14ac:dyDescent="0.25">
      <c r="A12" s="175"/>
      <c r="B12" s="176"/>
      <c r="C12" s="176"/>
      <c r="D12" s="176"/>
      <c r="E12" s="176"/>
      <c r="F12" s="176"/>
      <c r="G12" s="176"/>
      <c r="H12" s="176"/>
      <c r="I12" s="176"/>
      <c r="J12" s="176"/>
      <c r="K12" s="176"/>
      <c r="L12" s="176"/>
      <c r="M12" s="201" t="s">
        <v>18</v>
      </c>
      <c r="N12" s="202">
        <f>SUM(N11:N11)</f>
        <v>2.4914905344</v>
      </c>
      <c r="O12" s="156"/>
    </row>
    <row r="13" spans="1:19" x14ac:dyDescent="0.25">
      <c r="A13" s="160"/>
      <c r="B13" s="154"/>
      <c r="C13" s="154"/>
      <c r="D13" s="154"/>
      <c r="E13" s="154"/>
      <c r="F13" s="154"/>
      <c r="G13" s="154"/>
      <c r="H13" s="154"/>
      <c r="I13" s="154"/>
      <c r="J13" s="154"/>
      <c r="K13" s="154"/>
      <c r="L13" s="154"/>
      <c r="M13" s="154"/>
      <c r="N13" s="154"/>
      <c r="O13" s="156"/>
      <c r="S13" s="203"/>
    </row>
    <row r="14" spans="1:19" x14ac:dyDescent="0.25">
      <c r="A14" s="204" t="s">
        <v>14</v>
      </c>
      <c r="B14" s="196" t="s">
        <v>31</v>
      </c>
      <c r="C14" s="196" t="s">
        <v>20</v>
      </c>
      <c r="D14" s="196" t="s">
        <v>21</v>
      </c>
      <c r="E14" s="196" t="s">
        <v>32</v>
      </c>
      <c r="F14" s="196" t="s">
        <v>17</v>
      </c>
      <c r="G14" s="196" t="s">
        <v>33</v>
      </c>
      <c r="H14" s="196" t="s">
        <v>34</v>
      </c>
      <c r="I14" s="196" t="s">
        <v>18</v>
      </c>
      <c r="J14" s="176"/>
      <c r="K14" s="176"/>
      <c r="L14" s="176"/>
      <c r="M14" s="176"/>
      <c r="N14" s="176"/>
      <c r="O14" s="156"/>
      <c r="R14" s="203"/>
    </row>
    <row r="15" spans="1:19" s="25" customFormat="1" ht="28.9" customHeight="1" x14ac:dyDescent="0.25">
      <c r="A15" s="248">
        <v>10</v>
      </c>
      <c r="B15" s="249" t="s">
        <v>39</v>
      </c>
      <c r="C15" s="248"/>
      <c r="D15" s="250">
        <v>1.3</v>
      </c>
      <c r="E15" s="249" t="s">
        <v>32</v>
      </c>
      <c r="F15" s="255">
        <v>1</v>
      </c>
      <c r="G15" s="31"/>
      <c r="H15" s="31"/>
      <c r="I15" s="32">
        <f t="shared" ref="I15:I25" si="0">IF(H15="",D15*F15,D15*F15*H15)</f>
        <v>1.3</v>
      </c>
      <c r="J15" s="58"/>
      <c r="K15" s="58"/>
      <c r="L15" s="58"/>
      <c r="M15" s="58"/>
      <c r="N15" s="58"/>
      <c r="O15" s="68"/>
    </row>
    <row r="16" spans="1:19" customFormat="1" ht="25.9" customHeight="1" x14ac:dyDescent="0.25">
      <c r="A16" s="251">
        <v>20</v>
      </c>
      <c r="B16" s="249" t="s">
        <v>92</v>
      </c>
      <c r="C16" s="252" t="s">
        <v>243</v>
      </c>
      <c r="D16" s="253">
        <v>0.04</v>
      </c>
      <c r="E16" s="251" t="s">
        <v>93</v>
      </c>
      <c r="F16" s="254">
        <v>174</v>
      </c>
      <c r="G16" s="27"/>
      <c r="H16" s="26"/>
      <c r="I16" s="32">
        <f t="shared" si="0"/>
        <v>6.96</v>
      </c>
      <c r="J16" s="56"/>
      <c r="K16" s="56"/>
      <c r="L16" s="56"/>
      <c r="M16" s="56"/>
      <c r="N16" s="56"/>
      <c r="O16" s="62"/>
      <c r="R16" s="131"/>
    </row>
    <row r="17" spans="1:18" s="17" customFormat="1" ht="15" customHeight="1" x14ac:dyDescent="0.25">
      <c r="A17" s="248">
        <v>30</v>
      </c>
      <c r="B17" s="249" t="s">
        <v>91</v>
      </c>
      <c r="C17" s="248"/>
      <c r="D17" s="250">
        <v>0.65</v>
      </c>
      <c r="E17" s="249" t="s">
        <v>32</v>
      </c>
      <c r="F17" s="255">
        <v>1</v>
      </c>
      <c r="G17" s="26"/>
      <c r="H17" s="26"/>
      <c r="I17" s="32">
        <f t="shared" si="0"/>
        <v>0.65</v>
      </c>
      <c r="J17" s="57"/>
      <c r="K17" s="57"/>
      <c r="L17" s="57"/>
      <c r="M17" s="57"/>
      <c r="N17" s="57"/>
      <c r="O17" s="65"/>
      <c r="R17" s="132"/>
    </row>
    <row r="18" spans="1:18" customFormat="1" ht="18.600000000000001" customHeight="1" x14ac:dyDescent="0.25">
      <c r="A18" s="251">
        <v>40</v>
      </c>
      <c r="B18" s="249" t="s">
        <v>92</v>
      </c>
      <c r="C18" s="252" t="s">
        <v>186</v>
      </c>
      <c r="D18" s="253">
        <v>0.04</v>
      </c>
      <c r="E18" s="251" t="s">
        <v>93</v>
      </c>
      <c r="F18" s="254">
        <v>2.2999999999999998</v>
      </c>
      <c r="G18" s="27"/>
      <c r="H18" s="26"/>
      <c r="I18" s="32">
        <f t="shared" si="0"/>
        <v>9.1999999999999998E-2</v>
      </c>
      <c r="J18" s="56"/>
      <c r="K18" s="56"/>
      <c r="L18" s="56"/>
      <c r="M18" s="56"/>
      <c r="N18" s="56"/>
      <c r="O18" s="62"/>
      <c r="R18" s="131"/>
    </row>
    <row r="19" spans="1:18" customFormat="1" ht="28.15" customHeight="1" x14ac:dyDescent="0.25">
      <c r="A19" s="248">
        <v>50</v>
      </c>
      <c r="B19" s="249" t="s">
        <v>91</v>
      </c>
      <c r="C19" s="248"/>
      <c r="D19" s="250">
        <v>0.65</v>
      </c>
      <c r="E19" s="249" t="s">
        <v>32</v>
      </c>
      <c r="F19" s="255">
        <v>1</v>
      </c>
      <c r="G19" s="26"/>
      <c r="H19" s="26"/>
      <c r="I19" s="32">
        <f t="shared" si="0"/>
        <v>0.65</v>
      </c>
      <c r="J19" s="56"/>
      <c r="K19" s="56"/>
      <c r="L19" s="56"/>
      <c r="M19" s="56"/>
      <c r="N19" s="56"/>
      <c r="O19" s="62"/>
      <c r="R19" s="131"/>
    </row>
    <row r="20" spans="1:18" customFormat="1" ht="15" customHeight="1" x14ac:dyDescent="0.25">
      <c r="A20" s="251">
        <v>60</v>
      </c>
      <c r="B20" s="249" t="s">
        <v>92</v>
      </c>
      <c r="C20" s="252" t="s">
        <v>187</v>
      </c>
      <c r="D20" s="253">
        <v>0.04</v>
      </c>
      <c r="E20" s="251" t="s">
        <v>93</v>
      </c>
      <c r="F20" s="254">
        <v>2.2999999999999998</v>
      </c>
      <c r="G20" s="26"/>
      <c r="H20" s="26"/>
      <c r="I20" s="32">
        <f t="shared" si="0"/>
        <v>9.1999999999999998E-2</v>
      </c>
      <c r="J20" s="56"/>
      <c r="K20" s="56"/>
      <c r="L20" s="56"/>
      <c r="M20" s="56"/>
      <c r="N20" s="56"/>
      <c r="O20" s="62"/>
      <c r="R20" s="131"/>
    </row>
    <row r="21" spans="1:18" customFormat="1" ht="14.45" customHeight="1" x14ac:dyDescent="0.25">
      <c r="A21" s="248">
        <v>70</v>
      </c>
      <c r="B21" s="249" t="s">
        <v>91</v>
      </c>
      <c r="C21" s="248"/>
      <c r="D21" s="250">
        <v>0.65</v>
      </c>
      <c r="E21" s="249" t="s">
        <v>32</v>
      </c>
      <c r="F21" s="255">
        <v>1</v>
      </c>
      <c r="G21" s="26"/>
      <c r="H21" s="26"/>
      <c r="I21" s="32">
        <f t="shared" si="0"/>
        <v>0.65</v>
      </c>
      <c r="J21" s="56"/>
      <c r="K21" s="56"/>
      <c r="L21" s="56"/>
      <c r="M21" s="56"/>
      <c r="N21" s="56"/>
      <c r="O21" s="62"/>
      <c r="R21" s="131"/>
    </row>
    <row r="22" spans="1:18" customFormat="1" ht="29.45" customHeight="1" x14ac:dyDescent="0.25">
      <c r="A22" s="251">
        <v>80</v>
      </c>
      <c r="B22" s="249" t="s">
        <v>92</v>
      </c>
      <c r="C22" s="252" t="s">
        <v>188</v>
      </c>
      <c r="D22" s="253">
        <v>0.04</v>
      </c>
      <c r="E22" s="251" t="s">
        <v>93</v>
      </c>
      <c r="F22" s="254">
        <v>8</v>
      </c>
      <c r="G22" s="26"/>
      <c r="H22" s="26"/>
      <c r="I22" s="32">
        <f t="shared" si="0"/>
        <v>0.32</v>
      </c>
      <c r="J22" s="56"/>
      <c r="K22" s="56"/>
      <c r="L22" s="56"/>
      <c r="M22" s="56"/>
      <c r="N22" s="56"/>
      <c r="O22" s="62"/>
      <c r="R22" s="131"/>
    </row>
    <row r="23" spans="1:18" customFormat="1" ht="28.9" customHeight="1" x14ac:dyDescent="0.25">
      <c r="A23" s="248">
        <v>90</v>
      </c>
      <c r="B23" s="249" t="s">
        <v>91</v>
      </c>
      <c r="C23" s="248"/>
      <c r="D23" s="250">
        <v>0.65</v>
      </c>
      <c r="E23" s="249" t="s">
        <v>32</v>
      </c>
      <c r="F23" s="255">
        <v>1</v>
      </c>
      <c r="G23" s="26"/>
      <c r="H23" s="26"/>
      <c r="I23" s="32">
        <f t="shared" si="0"/>
        <v>0.65</v>
      </c>
      <c r="J23" s="56"/>
      <c r="K23" s="56"/>
      <c r="L23" s="56"/>
      <c r="M23" s="56"/>
      <c r="N23" s="56"/>
      <c r="O23" s="62"/>
      <c r="R23" s="131"/>
    </row>
    <row r="24" spans="1:18" customFormat="1" ht="18.600000000000001" customHeight="1" x14ac:dyDescent="0.25">
      <c r="A24" s="251">
        <v>100</v>
      </c>
      <c r="B24" s="249" t="s">
        <v>92</v>
      </c>
      <c r="C24" s="252" t="s">
        <v>189</v>
      </c>
      <c r="D24" s="253">
        <v>0.04</v>
      </c>
      <c r="E24" s="251" t="s">
        <v>93</v>
      </c>
      <c r="F24" s="254">
        <v>57</v>
      </c>
      <c r="G24" s="26"/>
      <c r="H24" s="26"/>
      <c r="I24" s="32">
        <f t="shared" si="0"/>
        <v>2.2800000000000002</v>
      </c>
      <c r="J24" s="56"/>
      <c r="K24" s="56"/>
      <c r="L24" s="56"/>
      <c r="M24" s="56"/>
      <c r="N24" s="56"/>
      <c r="O24" s="62"/>
      <c r="R24" s="131"/>
    </row>
    <row r="25" spans="1:18" customFormat="1" ht="26.45" customHeight="1" x14ac:dyDescent="0.25">
      <c r="A25" s="248">
        <v>110</v>
      </c>
      <c r="B25" s="249" t="s">
        <v>190</v>
      </c>
      <c r="C25" s="252" t="s">
        <v>191</v>
      </c>
      <c r="D25" s="253">
        <v>0.35</v>
      </c>
      <c r="E25" s="251"/>
      <c r="F25" s="254">
        <v>1</v>
      </c>
      <c r="G25" s="26"/>
      <c r="H25" s="26"/>
      <c r="I25" s="32">
        <f t="shared" si="0"/>
        <v>0.35</v>
      </c>
      <c r="J25" s="56"/>
      <c r="K25" s="56"/>
      <c r="L25" s="56"/>
      <c r="M25" s="56"/>
      <c r="N25" s="56"/>
      <c r="O25" s="62"/>
    </row>
    <row r="26" spans="1:18" x14ac:dyDescent="0.25">
      <c r="A26" s="175"/>
      <c r="B26" s="176"/>
      <c r="C26" s="176"/>
      <c r="D26" s="176"/>
      <c r="E26" s="176"/>
      <c r="F26" s="176"/>
      <c r="G26" s="176"/>
      <c r="H26" s="208" t="s">
        <v>18</v>
      </c>
      <c r="I26" s="202">
        <f>SUM(I15:I25)</f>
        <v>13.994000000000002</v>
      </c>
      <c r="J26" s="176"/>
      <c r="K26" s="176"/>
      <c r="L26" s="176"/>
      <c r="M26" s="176"/>
      <c r="N26" s="176"/>
      <c r="O26" s="156"/>
    </row>
    <row r="27" spans="1:18" ht="15.75" thickBot="1" x14ac:dyDescent="0.3">
      <c r="A27" s="185"/>
      <c r="B27" s="186"/>
      <c r="C27" s="186"/>
      <c r="D27" s="186"/>
      <c r="E27" s="186"/>
      <c r="F27" s="186"/>
      <c r="G27" s="186"/>
      <c r="H27" s="186"/>
      <c r="I27" s="186"/>
      <c r="J27" s="186"/>
      <c r="K27" s="186"/>
      <c r="L27" s="186"/>
      <c r="M27" s="186"/>
      <c r="N27" s="186"/>
      <c r="O27" s="187"/>
    </row>
  </sheetData>
  <hyperlinks>
    <hyperlink ref="B4" location="SU_A0300" display="Upper Back A-arm" xr:uid="{00000000-0004-0000-2C00-000000000000}"/>
    <hyperlink ref="E3" location="dSU_03001" display="Drawing" xr:uid="{00000000-0004-0000-2C00-000001000000}"/>
    <hyperlink ref="G2" location="SU_A0300_BOM" display="Back to BOM" xr:uid="{00000000-0004-0000-2C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6" firstPageNumber="0" fitToHeight="99" orientation="landscape" r:id="rId1"/>
  <headerFooter>
    <oddFooter>Page &amp;P</oddFooter>
  </headerFooter>
  <rowBreaks count="2" manualBreakCount="2">
    <brk id="27" max="16383" man="1"/>
    <brk id="61" max="16383" man="1"/>
  </rowBreaks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4" style="151" customWidth="1"/>
    <col min="2" max="16384" width="11.42578125" style="151"/>
  </cols>
  <sheetData>
    <row r="1" spans="1:2" x14ac:dyDescent="0.25">
      <c r="A1" s="151" t="s">
        <v>99</v>
      </c>
      <c r="B1" s="88" t="str">
        <f>SU_03001</f>
        <v>SU 03001</v>
      </c>
    </row>
  </sheetData>
  <hyperlinks>
    <hyperlink ref="B1" location="SU_03001" display="SU_03001" xr:uid="{00000000-0004-0000-2D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sheetPr>
    <tabColor rgb="FFFFFF66"/>
    <pageSetUpPr fitToPage="1"/>
  </sheetPr>
  <dimension ref="A1:S22"/>
  <sheetViews>
    <sheetView zoomScale="106" zoomScaleNormal="106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1.42578125" style="151"/>
    <col min="2" max="2" width="23.140625" style="151" customWidth="1"/>
    <col min="3" max="6" width="11.42578125" style="151"/>
    <col min="7" max="7" width="18" style="151" customWidth="1"/>
    <col min="8" max="8" width="11.42578125" style="151"/>
    <col min="9" max="9" width="21.42578125" style="151" customWidth="1"/>
    <col min="10" max="17" width="11.42578125" style="151"/>
    <col min="18" max="18" width="13.85546875" style="151" bestFit="1" customWidth="1"/>
    <col min="19" max="16384" width="11.42578125" style="151"/>
  </cols>
  <sheetData>
    <row r="1" spans="1:19" x14ac:dyDescent="0.25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9" x14ac:dyDescent="0.25">
      <c r="A2" s="188" t="s">
        <v>0</v>
      </c>
      <c r="B2" s="153" t="s">
        <v>37</v>
      </c>
      <c r="C2" s="154"/>
      <c r="D2" s="154"/>
      <c r="E2" s="154"/>
      <c r="F2" s="154"/>
      <c r="G2" s="87" t="s">
        <v>62</v>
      </c>
      <c r="H2" s="154"/>
      <c r="I2" s="154"/>
      <c r="J2" s="189" t="s">
        <v>1</v>
      </c>
      <c r="K2" s="155">
        <v>81</v>
      </c>
      <c r="L2" s="154"/>
      <c r="M2" s="188" t="s">
        <v>16</v>
      </c>
      <c r="N2" s="74">
        <f>N12+I21</f>
        <v>1.8728805440000003</v>
      </c>
      <c r="O2" s="156"/>
    </row>
    <row r="3" spans="1:19" x14ac:dyDescent="0.25">
      <c r="A3" s="188" t="s">
        <v>3</v>
      </c>
      <c r="B3" s="153" t="str">
        <f>'SU A0300'!B3</f>
        <v>Suspension &amp; Shocks</v>
      </c>
      <c r="C3" s="154"/>
      <c r="D3" s="188" t="s">
        <v>6</v>
      </c>
      <c r="E3" s="88" t="s">
        <v>60</v>
      </c>
      <c r="F3" s="154"/>
      <c r="G3" s="154"/>
      <c r="H3" s="154"/>
      <c r="I3" s="154"/>
      <c r="J3" s="154"/>
      <c r="K3" s="154"/>
      <c r="L3" s="154"/>
      <c r="M3" s="188" t="s">
        <v>4</v>
      </c>
      <c r="N3" s="82">
        <v>2</v>
      </c>
      <c r="O3" s="156"/>
    </row>
    <row r="4" spans="1:19" x14ac:dyDescent="0.25">
      <c r="A4" s="188" t="s">
        <v>5</v>
      </c>
      <c r="B4" s="87" t="s">
        <v>126</v>
      </c>
      <c r="C4" s="154"/>
      <c r="D4" s="188" t="s">
        <v>8</v>
      </c>
      <c r="E4" s="154"/>
      <c r="F4" s="154"/>
      <c r="G4" s="154"/>
      <c r="H4" s="154"/>
      <c r="I4" s="154"/>
      <c r="J4" s="190" t="s">
        <v>6</v>
      </c>
      <c r="K4" s="154"/>
      <c r="L4" s="154"/>
      <c r="M4" s="154"/>
      <c r="N4" s="154"/>
      <c r="O4" s="156"/>
    </row>
    <row r="5" spans="1:19" x14ac:dyDescent="0.25">
      <c r="A5" s="209" t="s">
        <v>15</v>
      </c>
      <c r="B5" s="210" t="s">
        <v>90</v>
      </c>
      <c r="C5" s="154"/>
      <c r="D5" s="188" t="s">
        <v>12</v>
      </c>
      <c r="E5" s="154"/>
      <c r="F5" s="154"/>
      <c r="G5" s="154"/>
      <c r="H5" s="154"/>
      <c r="I5" s="154"/>
      <c r="J5" s="190" t="s">
        <v>8</v>
      </c>
      <c r="K5" s="154"/>
      <c r="L5" s="154"/>
      <c r="M5" s="188" t="s">
        <v>9</v>
      </c>
      <c r="N5" s="74">
        <f>N3*N2</f>
        <v>3.7457610880000005</v>
      </c>
      <c r="O5" s="156"/>
    </row>
    <row r="6" spans="1:19" x14ac:dyDescent="0.25">
      <c r="A6" s="188" t="s">
        <v>7</v>
      </c>
      <c r="B6" s="191" t="s">
        <v>131</v>
      </c>
      <c r="C6" s="154"/>
      <c r="D6" s="154"/>
      <c r="E6" s="154"/>
      <c r="F6" s="154"/>
      <c r="G6" s="154"/>
      <c r="H6" s="154"/>
      <c r="I6" s="154"/>
      <c r="J6" s="190" t="s">
        <v>12</v>
      </c>
      <c r="K6" s="154"/>
      <c r="L6" s="154"/>
      <c r="M6" s="154"/>
      <c r="N6" s="154"/>
      <c r="O6" s="156"/>
    </row>
    <row r="7" spans="1:19" x14ac:dyDescent="0.25">
      <c r="A7" s="188" t="s">
        <v>10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9" x14ac:dyDescent="0.25">
      <c r="A8" s="188" t="s">
        <v>13</v>
      </c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9" x14ac:dyDescent="0.25">
      <c r="A9" s="192"/>
      <c r="B9" s="193"/>
      <c r="C9" s="193"/>
      <c r="D9" s="193"/>
      <c r="E9" s="193"/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9" customFormat="1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9" customFormat="1" x14ac:dyDescent="0.25">
      <c r="A11" s="85">
        <v>10</v>
      </c>
      <c r="B11" s="26" t="s">
        <v>66</v>
      </c>
      <c r="C11" s="20" t="s">
        <v>38</v>
      </c>
      <c r="D11" s="277">
        <f>4.2</f>
        <v>4.2</v>
      </c>
      <c r="E11" s="257">
        <f>J11*K11*L11</f>
        <v>0.20437632</v>
      </c>
      <c r="F11" s="20" t="s">
        <v>94</v>
      </c>
      <c r="G11" s="20"/>
      <c r="H11" s="278"/>
      <c r="I11" s="21" t="s">
        <v>95</v>
      </c>
      <c r="J11" s="247">
        <f>3.14*20*20/1000000</f>
        <v>1.256E-3</v>
      </c>
      <c r="K11" s="256">
        <v>0.06</v>
      </c>
      <c r="L11" s="79">
        <v>2712</v>
      </c>
      <c r="M11" s="23">
        <v>1</v>
      </c>
      <c r="N11" s="277">
        <f>D11*E11*M11</f>
        <v>0.85838054400000008</v>
      </c>
      <c r="O11" s="66"/>
      <c r="P11" s="22"/>
      <c r="Q11" s="22"/>
      <c r="R11" s="22"/>
      <c r="S11" s="22"/>
    </row>
    <row r="12" spans="1:19" x14ac:dyDescent="0.25">
      <c r="A12" s="175"/>
      <c r="B12" s="176"/>
      <c r="C12" s="176"/>
      <c r="D12" s="176"/>
      <c r="E12" s="176"/>
      <c r="F12" s="176"/>
      <c r="G12" s="176"/>
      <c r="H12" s="176"/>
      <c r="I12" s="176"/>
      <c r="J12" s="176"/>
      <c r="K12" s="176"/>
      <c r="L12" s="176"/>
      <c r="M12" s="201" t="s">
        <v>18</v>
      </c>
      <c r="N12" s="202">
        <f>SUM(N11:N11)</f>
        <v>0.85838054400000008</v>
      </c>
      <c r="O12" s="156"/>
    </row>
    <row r="13" spans="1:19" x14ac:dyDescent="0.25">
      <c r="A13" s="160"/>
      <c r="B13" s="154"/>
      <c r="C13" s="154"/>
      <c r="D13" s="154"/>
      <c r="E13" s="154"/>
      <c r="F13" s="154"/>
      <c r="G13" s="154"/>
      <c r="H13" s="154"/>
      <c r="I13" s="154"/>
      <c r="J13" s="154"/>
      <c r="K13" s="154"/>
      <c r="L13" s="154"/>
      <c r="M13" s="154"/>
      <c r="N13" s="154"/>
      <c r="O13" s="156"/>
      <c r="R13" s="203">
        <f>J11*K11/4</f>
        <v>1.8839999999999999E-5</v>
      </c>
      <c r="S13" s="203"/>
    </row>
    <row r="14" spans="1:19" customFormat="1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  <c r="R14" s="131"/>
    </row>
    <row r="15" spans="1:19" customFormat="1" ht="26.45" customHeight="1" x14ac:dyDescent="0.25">
      <c r="A15" s="326">
        <v>10</v>
      </c>
      <c r="B15" s="327" t="s">
        <v>39</v>
      </c>
      <c r="C15" s="326"/>
      <c r="D15" s="328">
        <v>1.3</v>
      </c>
      <c r="E15" s="327" t="s">
        <v>32</v>
      </c>
      <c r="F15" s="326">
        <v>1</v>
      </c>
      <c r="G15" s="326" t="s">
        <v>553</v>
      </c>
      <c r="H15" s="326">
        <f>1/16</f>
        <v>6.25E-2</v>
      </c>
      <c r="I15" s="329">
        <f t="shared" ref="I15:I20" si="0">IF(H15="",D15*F15,D15*F15*H15)</f>
        <v>8.1250000000000003E-2</v>
      </c>
      <c r="J15" s="58"/>
      <c r="K15" s="58"/>
      <c r="L15" s="58"/>
      <c r="M15" s="58"/>
      <c r="N15" s="58"/>
      <c r="O15" s="68"/>
      <c r="P15" s="25"/>
      <c r="Q15" s="25"/>
      <c r="R15" s="133"/>
      <c r="S15" s="25"/>
    </row>
    <row r="16" spans="1:19" customFormat="1" ht="28.15" customHeight="1" x14ac:dyDescent="0.25">
      <c r="A16" s="330">
        <v>20</v>
      </c>
      <c r="B16" s="327" t="s">
        <v>92</v>
      </c>
      <c r="C16" s="331" t="s">
        <v>192</v>
      </c>
      <c r="D16" s="332">
        <v>0.04</v>
      </c>
      <c r="E16" s="330" t="s">
        <v>93</v>
      </c>
      <c r="F16" s="333">
        <v>17</v>
      </c>
      <c r="G16" s="327" t="s">
        <v>193</v>
      </c>
      <c r="H16" s="231">
        <v>1</v>
      </c>
      <c r="I16" s="334">
        <f t="shared" si="0"/>
        <v>0.68</v>
      </c>
      <c r="J16" s="56"/>
      <c r="K16" s="56"/>
      <c r="L16" s="56"/>
      <c r="M16" s="56"/>
      <c r="N16" s="56"/>
      <c r="O16" s="62"/>
      <c r="R16" s="131"/>
    </row>
    <row r="17" spans="1:19" customFormat="1" ht="25.9" customHeight="1" x14ac:dyDescent="0.25">
      <c r="A17" s="326">
        <v>30</v>
      </c>
      <c r="B17" s="327" t="s">
        <v>91</v>
      </c>
      <c r="C17" s="326"/>
      <c r="D17" s="328">
        <v>0.65</v>
      </c>
      <c r="E17" s="327" t="s">
        <v>32</v>
      </c>
      <c r="F17" s="326">
        <v>1</v>
      </c>
      <c r="G17" s="326" t="s">
        <v>553</v>
      </c>
      <c r="H17" s="326">
        <f>1/16</f>
        <v>6.25E-2</v>
      </c>
      <c r="I17" s="329">
        <f t="shared" si="0"/>
        <v>4.0625000000000001E-2</v>
      </c>
      <c r="J17" s="57"/>
      <c r="K17" s="57"/>
      <c r="L17" s="57"/>
      <c r="M17" s="57"/>
      <c r="N17" s="57"/>
      <c r="O17" s="65"/>
      <c r="P17" s="17"/>
      <c r="Q17" s="17"/>
      <c r="R17" s="132"/>
      <c r="S17" s="17"/>
    </row>
    <row r="18" spans="1:19" customFormat="1" ht="15.6" customHeight="1" x14ac:dyDescent="0.25">
      <c r="A18" s="330">
        <v>40</v>
      </c>
      <c r="B18" s="327" t="s">
        <v>92</v>
      </c>
      <c r="C18" s="331" t="s">
        <v>194</v>
      </c>
      <c r="D18" s="332">
        <v>0.04</v>
      </c>
      <c r="E18" s="330" t="s">
        <v>93</v>
      </c>
      <c r="F18" s="333">
        <v>2</v>
      </c>
      <c r="G18" s="327" t="s">
        <v>193</v>
      </c>
      <c r="H18" s="231">
        <v>1</v>
      </c>
      <c r="I18" s="334">
        <f t="shared" si="0"/>
        <v>0.08</v>
      </c>
      <c r="J18" s="56"/>
      <c r="K18" s="56"/>
      <c r="L18" s="56"/>
      <c r="M18" s="56"/>
      <c r="N18" s="56"/>
      <c r="O18" s="62"/>
      <c r="R18" s="131"/>
    </row>
    <row r="19" spans="1:19" customFormat="1" ht="30" x14ac:dyDescent="0.25">
      <c r="A19" s="326">
        <v>50</v>
      </c>
      <c r="B19" s="327" t="s">
        <v>91</v>
      </c>
      <c r="C19" s="326"/>
      <c r="D19" s="328">
        <v>0.65</v>
      </c>
      <c r="E19" s="327" t="s">
        <v>32</v>
      </c>
      <c r="F19" s="326">
        <v>1</v>
      </c>
      <c r="G19" s="326" t="s">
        <v>553</v>
      </c>
      <c r="H19" s="326">
        <f>1/16</f>
        <v>6.25E-2</v>
      </c>
      <c r="I19" s="329">
        <f t="shared" si="0"/>
        <v>4.0625000000000001E-2</v>
      </c>
      <c r="J19" s="56"/>
      <c r="K19" s="56"/>
      <c r="L19" s="56"/>
      <c r="M19" s="56"/>
      <c r="N19" s="56"/>
      <c r="O19" s="62"/>
      <c r="R19" s="131"/>
    </row>
    <row r="20" spans="1:19" customFormat="1" ht="14.45" customHeight="1" x14ac:dyDescent="0.25">
      <c r="A20" s="330">
        <v>60</v>
      </c>
      <c r="B20" s="327" t="s">
        <v>92</v>
      </c>
      <c r="C20" s="331" t="s">
        <v>195</v>
      </c>
      <c r="D20" s="332">
        <v>0.04</v>
      </c>
      <c r="E20" s="330" t="s">
        <v>93</v>
      </c>
      <c r="F20" s="333">
        <v>2.2999999999999998</v>
      </c>
      <c r="G20" s="327" t="s">
        <v>193</v>
      </c>
      <c r="H20" s="231">
        <v>1</v>
      </c>
      <c r="I20" s="334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25">
      <c r="A21" s="175"/>
      <c r="B21" s="176"/>
      <c r="C21" s="176"/>
      <c r="D21" s="176"/>
      <c r="E21" s="176"/>
      <c r="F21" s="176"/>
      <c r="G21" s="176"/>
      <c r="H21" s="208" t="s">
        <v>18</v>
      </c>
      <c r="I21" s="202">
        <f>SUM(I15:I20)</f>
        <v>1.0145000000000002</v>
      </c>
      <c r="J21" s="176"/>
      <c r="K21" s="176"/>
      <c r="L21" s="176"/>
      <c r="M21" s="176"/>
      <c r="N21" s="176"/>
      <c r="O21" s="156"/>
    </row>
    <row r="22" spans="1:19" ht="15.75" thickBot="1" x14ac:dyDescent="0.3">
      <c r="A22" s="185"/>
      <c r="B22" s="186"/>
      <c r="C22" s="186"/>
      <c r="D22" s="186"/>
      <c r="E22" s="186"/>
      <c r="F22" s="186"/>
      <c r="G22" s="186"/>
      <c r="H22" s="186"/>
      <c r="I22" s="186"/>
      <c r="J22" s="186"/>
      <c r="K22" s="186"/>
      <c r="L22" s="186"/>
      <c r="M22" s="186"/>
      <c r="N22" s="186"/>
      <c r="O22" s="187"/>
    </row>
  </sheetData>
  <hyperlinks>
    <hyperlink ref="B4" location="SU_A0300" display="Upper Back A-arm" xr:uid="{00000000-0004-0000-2E00-000000000000}"/>
    <hyperlink ref="E3" location="dSU_03002" display="Drawing" xr:uid="{00000000-0004-0000-2E00-000001000000}"/>
    <hyperlink ref="G2" location="SU_A0300_BOM" display="Back to BOM" xr:uid="{00000000-0004-0000-2E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0" fitToHeight="99" orientation="landscape" r:id="rId1"/>
  <headerFooter>
    <oddFooter>Page &amp;P</oddFooter>
  </headerFooter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sheetPr>
    <tabColor rgb="FFFFFF66"/>
    <pageSetUpPr fitToPage="1"/>
  </sheetPr>
  <dimension ref="A1:B6"/>
  <sheetViews>
    <sheetView zoomScale="106" zoomScaleNormal="106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8.85546875" style="151" customWidth="1"/>
    <col min="2" max="16384" width="11.42578125" style="151"/>
  </cols>
  <sheetData>
    <row r="1" spans="1:2" x14ac:dyDescent="0.25">
      <c r="A1" s="151" t="s">
        <v>99</v>
      </c>
      <c r="B1" s="88" t="str">
        <f>SU_03002</f>
        <v>SU 03002</v>
      </c>
    </row>
    <row r="4" spans="1:2" x14ac:dyDescent="0.25">
      <c r="B4" s="151" t="s">
        <v>105</v>
      </c>
    </row>
    <row r="5" spans="1:2" x14ac:dyDescent="0.25">
      <c r="B5" s="151" t="s">
        <v>106</v>
      </c>
    </row>
    <row r="6" spans="1:2" x14ac:dyDescent="0.25">
      <c r="B6" s="213"/>
    </row>
  </sheetData>
  <hyperlinks>
    <hyperlink ref="B1" location="SU_03002" display="SU_03002" xr:uid="{00000000-0004-0000-2F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sheetPr>
    <tabColor rgb="FFFFFF66"/>
    <pageSetUpPr fitToPage="1"/>
  </sheetPr>
  <dimension ref="A1:O17"/>
  <sheetViews>
    <sheetView zoomScale="90" zoomScaleNormal="90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1.42578125" style="151"/>
    <col min="2" max="2" width="20.42578125" style="151" customWidth="1"/>
    <col min="3" max="3" width="33" style="151" customWidth="1"/>
    <col min="4" max="4" width="11.42578125" style="151"/>
    <col min="5" max="5" width="17" style="151" customWidth="1"/>
    <col min="6" max="16384" width="11.42578125" style="151"/>
  </cols>
  <sheetData>
    <row r="1" spans="1:15" x14ac:dyDescent="0.25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5" x14ac:dyDescent="0.25">
      <c r="A2" s="188" t="s">
        <v>0</v>
      </c>
      <c r="B2" s="153" t="s">
        <v>37</v>
      </c>
      <c r="C2" s="154"/>
      <c r="D2" s="154"/>
      <c r="E2" s="154"/>
      <c r="F2" s="154"/>
      <c r="G2" s="87" t="s">
        <v>62</v>
      </c>
      <c r="H2" s="154"/>
      <c r="I2" s="154"/>
      <c r="J2" s="189" t="s">
        <v>1</v>
      </c>
      <c r="K2" s="155">
        <v>81</v>
      </c>
      <c r="L2" s="154"/>
      <c r="M2" s="188" t="s">
        <v>16</v>
      </c>
      <c r="N2" s="74">
        <f>N12+I16</f>
        <v>10.876934879999999</v>
      </c>
      <c r="O2" s="156"/>
    </row>
    <row r="3" spans="1:15" x14ac:dyDescent="0.25">
      <c r="A3" s="188" t="s">
        <v>3</v>
      </c>
      <c r="B3" s="153" t="str">
        <f>'SU A0300'!B3</f>
        <v>Suspension &amp; Shocks</v>
      </c>
      <c r="C3" s="154"/>
      <c r="D3" s="188" t="s">
        <v>6</v>
      </c>
      <c r="E3" s="151" t="s">
        <v>60</v>
      </c>
      <c r="F3" s="154"/>
      <c r="G3" s="154"/>
      <c r="H3" s="154"/>
      <c r="I3" s="154"/>
      <c r="J3" s="154"/>
      <c r="K3" s="154"/>
      <c r="L3" s="154"/>
      <c r="M3" s="188" t="s">
        <v>4</v>
      </c>
      <c r="N3" s="82">
        <v>1</v>
      </c>
      <c r="O3" s="156"/>
    </row>
    <row r="4" spans="1:15" x14ac:dyDescent="0.25">
      <c r="A4" s="188" t="s">
        <v>5</v>
      </c>
      <c r="B4" s="87" t="s">
        <v>126</v>
      </c>
      <c r="C4" s="154"/>
      <c r="D4" s="188" t="s">
        <v>8</v>
      </c>
      <c r="E4" s="154"/>
      <c r="F4" s="154"/>
      <c r="G4" s="154"/>
      <c r="H4" s="154"/>
      <c r="I4" s="154"/>
      <c r="J4" s="190" t="s">
        <v>6</v>
      </c>
      <c r="K4" s="154"/>
      <c r="L4" s="154"/>
      <c r="M4" s="154"/>
      <c r="N4" s="154"/>
      <c r="O4" s="156"/>
    </row>
    <row r="5" spans="1:15" x14ac:dyDescent="0.25">
      <c r="A5" s="188" t="s">
        <v>15</v>
      </c>
      <c r="B5" s="73" t="s">
        <v>129</v>
      </c>
      <c r="C5" s="154"/>
      <c r="D5" s="188" t="s">
        <v>12</v>
      </c>
      <c r="E5" s="154"/>
      <c r="F5" s="154"/>
      <c r="G5" s="154"/>
      <c r="H5" s="154"/>
      <c r="I5" s="154"/>
      <c r="J5" s="190" t="s">
        <v>8</v>
      </c>
      <c r="K5" s="154"/>
      <c r="L5" s="154"/>
      <c r="M5" s="188" t="s">
        <v>9</v>
      </c>
      <c r="N5" s="74">
        <f>N3*N2</f>
        <v>10.876934879999999</v>
      </c>
      <c r="O5" s="156"/>
    </row>
    <row r="6" spans="1:15" x14ac:dyDescent="0.25">
      <c r="A6" s="188" t="s">
        <v>7</v>
      </c>
      <c r="B6" s="191" t="s">
        <v>133</v>
      </c>
      <c r="C6" s="154"/>
      <c r="D6" s="154"/>
      <c r="E6" s="154"/>
      <c r="F6" s="154"/>
      <c r="G6" s="154"/>
      <c r="H6" s="154"/>
      <c r="I6" s="154"/>
      <c r="J6" s="190" t="s">
        <v>12</v>
      </c>
      <c r="K6" s="154"/>
      <c r="L6" s="154"/>
      <c r="M6" s="154"/>
      <c r="N6" s="154"/>
      <c r="O6" s="156"/>
    </row>
    <row r="7" spans="1:15" x14ac:dyDescent="0.25">
      <c r="A7" s="188" t="s">
        <v>10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5" x14ac:dyDescent="0.25">
      <c r="A8" s="188" t="s">
        <v>13</v>
      </c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5" x14ac:dyDescent="0.25">
      <c r="A9" s="192"/>
      <c r="B9" s="193"/>
      <c r="C9" s="193"/>
      <c r="D9" s="193"/>
      <c r="E9" s="193"/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5" x14ac:dyDescent="0.25">
      <c r="A10" s="194" t="s">
        <v>14</v>
      </c>
      <c r="B10" s="195" t="s">
        <v>19</v>
      </c>
      <c r="C10" s="195" t="s">
        <v>20</v>
      </c>
      <c r="D10" s="195" t="s">
        <v>21</v>
      </c>
      <c r="E10" s="195" t="s">
        <v>22</v>
      </c>
      <c r="F10" s="196" t="s">
        <v>23</v>
      </c>
      <c r="G10" s="196" t="s">
        <v>24</v>
      </c>
      <c r="H10" s="196" t="s">
        <v>25</v>
      </c>
      <c r="I10" s="196" t="s">
        <v>26</v>
      </c>
      <c r="J10" s="196" t="s">
        <v>27</v>
      </c>
      <c r="K10" s="196" t="s">
        <v>28</v>
      </c>
      <c r="L10" s="196" t="s">
        <v>29</v>
      </c>
      <c r="M10" s="196" t="s">
        <v>17</v>
      </c>
      <c r="N10" s="196" t="s">
        <v>18</v>
      </c>
      <c r="O10" s="156"/>
    </row>
    <row r="11" spans="1:15" x14ac:dyDescent="0.25">
      <c r="A11" s="85">
        <v>10</v>
      </c>
      <c r="B11" s="141" t="s">
        <v>117</v>
      </c>
      <c r="C11" s="142" t="s">
        <v>118</v>
      </c>
      <c r="D11" s="145">
        <f>200*E11*L11</f>
        <v>9.6683865599999983</v>
      </c>
      <c r="E11" s="21">
        <f>J11*K11</f>
        <v>3.0596159999999994E-5</v>
      </c>
      <c r="F11" s="20" t="s">
        <v>119</v>
      </c>
      <c r="G11" s="20"/>
      <c r="H11" s="19"/>
      <c r="I11" s="21" t="s">
        <v>96</v>
      </c>
      <c r="J11" s="247">
        <f>3.14*(0.008*0.008-0.006*0.006)</f>
        <v>8.7919999999999985E-5</v>
      </c>
      <c r="K11" s="78">
        <v>0.34799999999999998</v>
      </c>
      <c r="L11" s="79">
        <v>1580</v>
      </c>
      <c r="M11" s="143">
        <v>1</v>
      </c>
      <c r="N11" s="30">
        <f>D11*M11</f>
        <v>9.6683865599999983</v>
      </c>
      <c r="O11" s="173"/>
    </row>
    <row r="12" spans="1:15" x14ac:dyDescent="0.25">
      <c r="A12" s="175"/>
      <c r="B12" s="176"/>
      <c r="C12" s="176"/>
      <c r="D12" s="176"/>
      <c r="E12" s="176"/>
      <c r="F12" s="176"/>
      <c r="G12" s="176"/>
      <c r="H12" s="176"/>
      <c r="I12" s="176"/>
      <c r="J12" s="176"/>
      <c r="K12" s="176"/>
      <c r="L12" s="176"/>
      <c r="M12" s="201" t="s">
        <v>18</v>
      </c>
      <c r="N12" s="202">
        <f>SUM(N11:N11)</f>
        <v>9.6683865599999983</v>
      </c>
      <c r="O12" s="156"/>
    </row>
    <row r="13" spans="1:15" x14ac:dyDescent="0.25">
      <c r="A13" s="160"/>
      <c r="B13" s="154"/>
      <c r="C13" s="154"/>
      <c r="D13" s="154"/>
      <c r="E13" s="154"/>
      <c r="F13" s="154"/>
      <c r="G13" s="154"/>
      <c r="H13" s="154"/>
      <c r="I13" s="154"/>
      <c r="J13" s="154"/>
      <c r="K13" s="154"/>
      <c r="L13" s="154"/>
      <c r="M13" s="154"/>
      <c r="N13" s="154"/>
      <c r="O13" s="156"/>
    </row>
    <row r="14" spans="1:15" x14ac:dyDescent="0.25">
      <c r="A14" s="204" t="s">
        <v>14</v>
      </c>
      <c r="B14" s="196" t="s">
        <v>31</v>
      </c>
      <c r="C14" s="196" t="s">
        <v>20</v>
      </c>
      <c r="D14" s="196" t="s">
        <v>21</v>
      </c>
      <c r="E14" s="196" t="s">
        <v>32</v>
      </c>
      <c r="F14" s="196" t="s">
        <v>17</v>
      </c>
      <c r="G14" s="196" t="s">
        <v>33</v>
      </c>
      <c r="H14" s="196" t="s">
        <v>34</v>
      </c>
      <c r="I14" s="196" t="s">
        <v>18</v>
      </c>
      <c r="J14" s="176"/>
      <c r="K14" s="176"/>
      <c r="L14" s="176"/>
      <c r="M14" s="176"/>
      <c r="N14" s="176"/>
      <c r="O14" s="156"/>
    </row>
    <row r="15" spans="1:15" ht="29.45" customHeight="1" x14ac:dyDescent="0.25">
      <c r="A15" s="141">
        <v>10</v>
      </c>
      <c r="B15" s="141" t="s">
        <v>139</v>
      </c>
      <c r="C15" s="141" t="s">
        <v>140</v>
      </c>
      <c r="D15" s="217">
        <v>25</v>
      </c>
      <c r="E15" s="216" t="s">
        <v>141</v>
      </c>
      <c r="F15" s="219">
        <f>J11*K11*L11</f>
        <v>4.8341932799999994E-2</v>
      </c>
      <c r="G15" s="215"/>
      <c r="H15" s="215"/>
      <c r="I15" s="218">
        <f>IF(H15="",D15*F15,D15*F15*H15)</f>
        <v>1.2085483199999998</v>
      </c>
      <c r="J15" s="184"/>
      <c r="K15" s="184"/>
      <c r="L15" s="184"/>
      <c r="M15" s="184"/>
      <c r="N15" s="184"/>
      <c r="O15" s="177"/>
    </row>
    <row r="16" spans="1:15" x14ac:dyDescent="0.25">
      <c r="A16" s="175"/>
      <c r="B16" s="176"/>
      <c r="C16" s="176"/>
      <c r="D16" s="176"/>
      <c r="E16" s="176"/>
      <c r="F16" s="176"/>
      <c r="G16" s="176"/>
      <c r="H16" s="208" t="s">
        <v>18</v>
      </c>
      <c r="I16" s="202">
        <f>SUM(I15:I15)</f>
        <v>1.2085483199999998</v>
      </c>
      <c r="J16" s="176"/>
      <c r="K16" s="176"/>
      <c r="L16" s="176"/>
      <c r="M16" s="176"/>
      <c r="N16" s="176"/>
      <c r="O16" s="156"/>
    </row>
    <row r="17" spans="1:15" ht="15.75" thickBot="1" x14ac:dyDescent="0.3">
      <c r="A17" s="185"/>
      <c r="B17" s="186"/>
      <c r="C17" s="186"/>
      <c r="D17" s="186"/>
      <c r="E17" s="186"/>
      <c r="F17" s="186"/>
      <c r="G17" s="186"/>
      <c r="H17" s="186"/>
      <c r="I17" s="186"/>
      <c r="J17" s="186"/>
      <c r="K17" s="186"/>
      <c r="L17" s="186"/>
      <c r="M17" s="186"/>
      <c r="N17" s="186"/>
      <c r="O17" s="187"/>
    </row>
  </sheetData>
  <hyperlinks>
    <hyperlink ref="B4" location="SU_A0300" display="Upper Back A-arm" xr:uid="{00000000-0004-0000-3000-000000000000}"/>
    <hyperlink ref="G2" location="SU_A0300_BOM" display="Back to BOM" xr:uid="{00000000-0004-0000-30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FFFF66"/>
    <pageSetUpPr fitToPage="1"/>
  </sheetPr>
  <dimension ref="A1:S22"/>
  <sheetViews>
    <sheetView zoomScale="85" zoomScaleNormal="85" zoomScalePageLayoutView="70" workbookViewId="0">
      <selection activeCell="E2" sqref="E2"/>
    </sheetView>
  </sheetViews>
  <sheetFormatPr baseColWidth="10" defaultRowHeight="15" x14ac:dyDescent="0.25"/>
  <cols>
    <col min="2" max="2" width="23.140625" customWidth="1"/>
    <col min="3" max="3" width="16.7109375" customWidth="1"/>
    <col min="4" max="4" width="8.7109375" customWidth="1"/>
    <col min="7" max="7" width="14" customWidth="1"/>
    <col min="9" max="9" width="21.42578125" customWidth="1"/>
    <col min="15" max="15" width="8.5703125" customWidth="1"/>
    <col min="18" max="18" width="13.85546875" bestFit="1" customWidth="1"/>
  </cols>
  <sheetData>
    <row r="1" spans="1:19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N12+I21</f>
        <v>1.8728805440000003</v>
      </c>
      <c r="O2" s="62"/>
    </row>
    <row r="3" spans="1:19" x14ac:dyDescent="0.25">
      <c r="A3" s="99" t="s">
        <v>3</v>
      </c>
      <c r="B3" s="16" t="str">
        <f>'SU A0100'!B3</f>
        <v>Suspension &amp; Shocks</v>
      </c>
      <c r="C3" s="56"/>
      <c r="D3" s="99" t="s">
        <v>6</v>
      </c>
      <c r="E3" s="8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9" x14ac:dyDescent="0.25">
      <c r="A4" s="99" t="s">
        <v>5</v>
      </c>
      <c r="B4" s="87" t="str">
        <f>'SU A0100'!B4</f>
        <v>Upper Front A-arm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9" x14ac:dyDescent="0.25">
      <c r="A5" s="99" t="s">
        <v>15</v>
      </c>
      <c r="B5" s="73" t="s">
        <v>90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3.7457610880000005</v>
      </c>
      <c r="O5" s="62"/>
    </row>
    <row r="6" spans="1:19" x14ac:dyDescent="0.25">
      <c r="A6" s="99" t="s">
        <v>7</v>
      </c>
      <c r="B6" s="28" t="s">
        <v>100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9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9" x14ac:dyDescent="0.25">
      <c r="A11" s="85">
        <v>10</v>
      </c>
      <c r="B11" s="26" t="s">
        <v>66</v>
      </c>
      <c r="C11" s="20" t="s">
        <v>38</v>
      </c>
      <c r="D11" s="30">
        <f>4.2</f>
        <v>4.2</v>
      </c>
      <c r="E11" s="257">
        <f>J11*K11*L11</f>
        <v>0.20437632</v>
      </c>
      <c r="F11" s="20" t="s">
        <v>94</v>
      </c>
      <c r="G11" s="20"/>
      <c r="H11" s="19"/>
      <c r="I11" s="21" t="s">
        <v>95</v>
      </c>
      <c r="J11" s="247">
        <f>3.14*20*20/1000000</f>
        <v>1.256E-3</v>
      </c>
      <c r="K11" s="256">
        <v>0.06</v>
      </c>
      <c r="L11" s="79">
        <v>2712</v>
      </c>
      <c r="M11" s="23">
        <v>1</v>
      </c>
      <c r="N11" s="30">
        <f>D11*E11*M11</f>
        <v>0.85838054400000008</v>
      </c>
      <c r="O11" s="66"/>
      <c r="P11" s="22"/>
      <c r="Q11" s="22"/>
      <c r="R11" s="22"/>
      <c r="S11" s="22"/>
    </row>
    <row r="12" spans="1:19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0.85838054400000008</v>
      </c>
      <c r="O12" s="62"/>
    </row>
    <row r="13" spans="1:19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R13" s="131"/>
      <c r="S13" s="131"/>
    </row>
    <row r="14" spans="1:19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  <c r="R14" s="131"/>
    </row>
    <row r="15" spans="1:19" ht="30" x14ac:dyDescent="0.25">
      <c r="A15" s="326">
        <v>10</v>
      </c>
      <c r="B15" s="327" t="s">
        <v>39</v>
      </c>
      <c r="C15" s="326"/>
      <c r="D15" s="328">
        <v>1.3</v>
      </c>
      <c r="E15" s="327" t="s">
        <v>32</v>
      </c>
      <c r="F15" s="326">
        <v>1</v>
      </c>
      <c r="G15" s="326" t="s">
        <v>553</v>
      </c>
      <c r="H15" s="326">
        <f>1/16</f>
        <v>6.25E-2</v>
      </c>
      <c r="I15" s="329">
        <f t="shared" ref="I15:I20" si="0">IF(H15="",D15*F15,D15*F15*H15)</f>
        <v>8.1250000000000003E-2</v>
      </c>
      <c r="J15" s="58"/>
      <c r="K15" s="58"/>
      <c r="L15" s="58"/>
      <c r="M15" s="58"/>
      <c r="N15" s="58"/>
      <c r="O15" s="68"/>
      <c r="P15" s="25"/>
      <c r="Q15" s="25"/>
      <c r="R15" s="133"/>
      <c r="S15" s="25"/>
    </row>
    <row r="16" spans="1:19" ht="28.15" customHeight="1" x14ac:dyDescent="0.25">
      <c r="A16" s="330">
        <v>20</v>
      </c>
      <c r="B16" s="327" t="s">
        <v>92</v>
      </c>
      <c r="C16" s="331" t="s">
        <v>192</v>
      </c>
      <c r="D16" s="332">
        <v>0.04</v>
      </c>
      <c r="E16" s="330" t="s">
        <v>93</v>
      </c>
      <c r="F16" s="333">
        <v>17</v>
      </c>
      <c r="G16" s="327" t="s">
        <v>193</v>
      </c>
      <c r="H16" s="231">
        <v>1</v>
      </c>
      <c r="I16" s="334">
        <f t="shared" si="0"/>
        <v>0.68</v>
      </c>
      <c r="J16" s="56"/>
      <c r="K16" s="56"/>
      <c r="L16" s="56"/>
      <c r="M16" s="56"/>
      <c r="N16" s="56"/>
      <c r="O16" s="62"/>
      <c r="R16" s="131"/>
    </row>
    <row r="17" spans="1:19" ht="30" x14ac:dyDescent="0.25">
      <c r="A17" s="326">
        <v>30</v>
      </c>
      <c r="B17" s="327" t="s">
        <v>91</v>
      </c>
      <c r="C17" s="326"/>
      <c r="D17" s="328">
        <v>0.65</v>
      </c>
      <c r="E17" s="327" t="s">
        <v>32</v>
      </c>
      <c r="F17" s="326">
        <v>1</v>
      </c>
      <c r="G17" s="326" t="s">
        <v>553</v>
      </c>
      <c r="H17" s="326">
        <f>1/16</f>
        <v>6.25E-2</v>
      </c>
      <c r="I17" s="329">
        <f t="shared" si="0"/>
        <v>4.0625000000000001E-2</v>
      </c>
      <c r="J17" s="57"/>
      <c r="K17" s="57"/>
      <c r="L17" s="57"/>
      <c r="M17" s="57"/>
      <c r="N17" s="57"/>
      <c r="O17" s="65"/>
      <c r="P17" s="17"/>
      <c r="Q17" s="17"/>
      <c r="R17" s="132"/>
      <c r="S17" s="17"/>
    </row>
    <row r="18" spans="1:19" ht="15.6" customHeight="1" x14ac:dyDescent="0.25">
      <c r="A18" s="330">
        <v>40</v>
      </c>
      <c r="B18" s="327" t="s">
        <v>92</v>
      </c>
      <c r="C18" s="331" t="s">
        <v>194</v>
      </c>
      <c r="D18" s="332">
        <v>0.04</v>
      </c>
      <c r="E18" s="330" t="s">
        <v>93</v>
      </c>
      <c r="F18" s="333">
        <v>2</v>
      </c>
      <c r="G18" s="327" t="s">
        <v>193</v>
      </c>
      <c r="H18" s="231">
        <v>1</v>
      </c>
      <c r="I18" s="334">
        <f t="shared" si="0"/>
        <v>0.08</v>
      </c>
      <c r="J18" s="56"/>
      <c r="K18" s="56"/>
      <c r="L18" s="56"/>
      <c r="M18" s="56"/>
      <c r="N18" s="56"/>
      <c r="O18" s="62"/>
      <c r="R18" s="131"/>
    </row>
    <row r="19" spans="1:19" ht="30" x14ac:dyDescent="0.25">
      <c r="A19" s="326">
        <v>50</v>
      </c>
      <c r="B19" s="327" t="s">
        <v>91</v>
      </c>
      <c r="C19" s="326"/>
      <c r="D19" s="328">
        <v>0.65</v>
      </c>
      <c r="E19" s="327" t="s">
        <v>32</v>
      </c>
      <c r="F19" s="326">
        <v>1</v>
      </c>
      <c r="G19" s="326" t="s">
        <v>553</v>
      </c>
      <c r="H19" s="326">
        <f>1/16</f>
        <v>6.25E-2</v>
      </c>
      <c r="I19" s="329">
        <f t="shared" si="0"/>
        <v>4.0625000000000001E-2</v>
      </c>
      <c r="J19" s="56"/>
      <c r="K19" s="56"/>
      <c r="L19" s="56"/>
      <c r="M19" s="56"/>
      <c r="N19" s="56"/>
      <c r="O19" s="62"/>
      <c r="R19" s="131"/>
    </row>
    <row r="20" spans="1:19" ht="14.45" customHeight="1" x14ac:dyDescent="0.25">
      <c r="A20" s="330">
        <v>60</v>
      </c>
      <c r="B20" s="327" t="s">
        <v>92</v>
      </c>
      <c r="C20" s="331" t="s">
        <v>195</v>
      </c>
      <c r="D20" s="332">
        <v>0.04</v>
      </c>
      <c r="E20" s="330" t="s">
        <v>93</v>
      </c>
      <c r="F20" s="333">
        <v>2.2999999999999998</v>
      </c>
      <c r="G20" s="327" t="s">
        <v>193</v>
      </c>
      <c r="H20" s="231">
        <v>1</v>
      </c>
      <c r="I20" s="334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25">
      <c r="A21" s="67"/>
      <c r="B21" s="24"/>
      <c r="C21" s="24"/>
      <c r="D21" s="24"/>
      <c r="E21" s="24"/>
      <c r="F21" s="24"/>
      <c r="G21" s="24"/>
      <c r="H21" s="108" t="s">
        <v>18</v>
      </c>
      <c r="I21" s="106">
        <f>SUM(I15:I20)</f>
        <v>1.0145000000000002</v>
      </c>
      <c r="J21" s="24"/>
      <c r="K21" s="24"/>
      <c r="L21" s="24"/>
      <c r="M21" s="24"/>
      <c r="N21" s="24"/>
      <c r="O21" s="62"/>
    </row>
    <row r="22" spans="1:19" ht="15.75" thickBot="1" x14ac:dyDescent="0.3">
      <c r="A22" s="69"/>
      <c r="B22" s="70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  <c r="N22" s="70"/>
      <c r="O22" s="71"/>
    </row>
  </sheetData>
  <hyperlinks>
    <hyperlink ref="B4" location="'SU A0100'!A1" display="'SU A0100'!A1" xr:uid="{00000000-0004-0000-0400-000000000000}"/>
    <hyperlink ref="E3" location="dSU_01002" display="Drawing" xr:uid="{00000000-0004-0000-0400-000001000000}"/>
    <hyperlink ref="G2" location="SU_A0100_BOM" display="Back to BOM" xr:uid="{00000000-0004-0000-04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2" fitToHeight="99" orientation="landscape" r:id="rId1"/>
  <headerFooter>
    <oddFooter>Page &amp;P</oddFooter>
  </headerFooter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sheetPr>
    <tabColor rgb="FFFFFF66"/>
    <pageSetUpPr fitToPage="1"/>
  </sheetPr>
  <dimension ref="A1:O17"/>
  <sheetViews>
    <sheetView zoomScale="90" zoomScaleNormal="90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1.42578125" style="151"/>
    <col min="2" max="2" width="33.85546875" style="151" customWidth="1"/>
    <col min="3" max="3" width="46.7109375" style="151" customWidth="1"/>
    <col min="4" max="4" width="11.42578125" style="151"/>
    <col min="5" max="5" width="18.28515625" style="151" customWidth="1"/>
    <col min="6" max="16384" width="11.42578125" style="151"/>
  </cols>
  <sheetData>
    <row r="1" spans="1:15" x14ac:dyDescent="0.25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5" x14ac:dyDescent="0.25">
      <c r="A2" s="188" t="s">
        <v>0</v>
      </c>
      <c r="B2" s="153" t="s">
        <v>37</v>
      </c>
      <c r="C2" s="154"/>
      <c r="D2" s="154"/>
      <c r="E2" s="154"/>
      <c r="F2" s="154"/>
      <c r="G2" s="87" t="s">
        <v>62</v>
      </c>
      <c r="H2" s="154"/>
      <c r="I2" s="154"/>
      <c r="J2" s="189" t="s">
        <v>1</v>
      </c>
      <c r="K2" s="155">
        <v>81</v>
      </c>
      <c r="L2" s="154"/>
      <c r="M2" s="188" t="s">
        <v>16</v>
      </c>
      <c r="N2" s="74">
        <f>N12+I16</f>
        <v>4.3445228399999989</v>
      </c>
      <c r="O2" s="156"/>
    </row>
    <row r="3" spans="1:15" x14ac:dyDescent="0.25">
      <c r="A3" s="188" t="s">
        <v>3</v>
      </c>
      <c r="B3" s="153" t="str">
        <f>'SU A0300'!B3</f>
        <v>Suspension &amp; Shocks</v>
      </c>
      <c r="C3" s="154"/>
      <c r="D3" s="188" t="s">
        <v>6</v>
      </c>
      <c r="E3" s="151" t="s">
        <v>60</v>
      </c>
      <c r="F3" s="154"/>
      <c r="G3" s="154"/>
      <c r="H3" s="154"/>
      <c r="I3" s="154"/>
      <c r="J3" s="154"/>
      <c r="K3" s="154"/>
      <c r="L3" s="154"/>
      <c r="M3" s="188" t="s">
        <v>4</v>
      </c>
      <c r="N3" s="82">
        <v>1</v>
      </c>
      <c r="O3" s="156"/>
    </row>
    <row r="4" spans="1:15" x14ac:dyDescent="0.25">
      <c r="A4" s="188" t="s">
        <v>5</v>
      </c>
      <c r="B4" s="87" t="s">
        <v>126</v>
      </c>
      <c r="C4" s="154"/>
      <c r="D4" s="188" t="s">
        <v>8</v>
      </c>
      <c r="E4" s="154"/>
      <c r="F4" s="154"/>
      <c r="G4" s="154"/>
      <c r="H4" s="154"/>
      <c r="I4" s="154"/>
      <c r="J4" s="190" t="s">
        <v>6</v>
      </c>
      <c r="K4" s="154"/>
      <c r="L4" s="154"/>
      <c r="M4" s="154"/>
      <c r="N4" s="154"/>
      <c r="O4" s="156"/>
    </row>
    <row r="5" spans="1:15" x14ac:dyDescent="0.25">
      <c r="A5" s="188" t="s">
        <v>15</v>
      </c>
      <c r="B5" s="73" t="s">
        <v>130</v>
      </c>
      <c r="C5" s="154"/>
      <c r="D5" s="188" t="s">
        <v>12</v>
      </c>
      <c r="E5" s="154"/>
      <c r="F5" s="154"/>
      <c r="G5" s="154"/>
      <c r="H5" s="154"/>
      <c r="I5" s="154"/>
      <c r="J5" s="190" t="s">
        <v>8</v>
      </c>
      <c r="K5" s="154"/>
      <c r="L5" s="154"/>
      <c r="M5" s="188" t="s">
        <v>9</v>
      </c>
      <c r="N5" s="74">
        <f>N3*N2</f>
        <v>4.3445228399999989</v>
      </c>
      <c r="O5" s="156"/>
    </row>
    <row r="6" spans="1:15" x14ac:dyDescent="0.25">
      <c r="A6" s="188" t="s">
        <v>7</v>
      </c>
      <c r="B6" s="191" t="s">
        <v>137</v>
      </c>
      <c r="C6" s="154"/>
      <c r="D6" s="154"/>
      <c r="E6" s="154"/>
      <c r="F6" s="154"/>
      <c r="G6" s="154"/>
      <c r="H6" s="154"/>
      <c r="I6" s="154"/>
      <c r="J6" s="190" t="s">
        <v>12</v>
      </c>
      <c r="K6" s="154"/>
      <c r="L6" s="154"/>
      <c r="M6" s="154"/>
      <c r="N6" s="154"/>
      <c r="O6" s="156"/>
    </row>
    <row r="7" spans="1:15" x14ac:dyDescent="0.25">
      <c r="A7" s="188" t="s">
        <v>10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5" x14ac:dyDescent="0.25">
      <c r="A8" s="188" t="s">
        <v>13</v>
      </c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5" x14ac:dyDescent="0.25">
      <c r="A9" s="192"/>
      <c r="B9" s="193"/>
      <c r="C9" s="193"/>
      <c r="D9" s="193"/>
      <c r="E9" s="193"/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5" x14ac:dyDescent="0.25">
      <c r="A10" s="194" t="s">
        <v>14</v>
      </c>
      <c r="B10" s="195" t="s">
        <v>19</v>
      </c>
      <c r="C10" s="195" t="s">
        <v>20</v>
      </c>
      <c r="D10" s="195" t="s">
        <v>21</v>
      </c>
      <c r="E10" s="195" t="s">
        <v>22</v>
      </c>
      <c r="F10" s="196" t="s">
        <v>23</v>
      </c>
      <c r="G10" s="196" t="s">
        <v>24</v>
      </c>
      <c r="H10" s="196" t="s">
        <v>25</v>
      </c>
      <c r="I10" s="196" t="s">
        <v>26</v>
      </c>
      <c r="J10" s="196" t="s">
        <v>27</v>
      </c>
      <c r="K10" s="196" t="s">
        <v>28</v>
      </c>
      <c r="L10" s="196" t="s">
        <v>29</v>
      </c>
      <c r="M10" s="196" t="s">
        <v>17</v>
      </c>
      <c r="N10" s="196" t="s">
        <v>18</v>
      </c>
      <c r="O10" s="156"/>
    </row>
    <row r="11" spans="1:15" x14ac:dyDescent="0.25">
      <c r="A11" s="85">
        <v>10</v>
      </c>
      <c r="B11" s="141" t="s">
        <v>117</v>
      </c>
      <c r="C11" s="142" t="s">
        <v>118</v>
      </c>
      <c r="D11" s="145">
        <f>200*E11*L11</f>
        <v>3.8617980799999994</v>
      </c>
      <c r="E11" s="247">
        <f>J11*K11</f>
        <v>1.2220879999999999E-5</v>
      </c>
      <c r="F11" s="20" t="s">
        <v>119</v>
      </c>
      <c r="G11" s="20"/>
      <c r="H11" s="19"/>
      <c r="I11" s="21" t="s">
        <v>96</v>
      </c>
      <c r="J11" s="247">
        <f>3.14*(0.008*0.008-0.006*0.006)</f>
        <v>8.7919999999999985E-5</v>
      </c>
      <c r="K11" s="78">
        <v>0.13900000000000001</v>
      </c>
      <c r="L11" s="79">
        <v>1580</v>
      </c>
      <c r="M11" s="143">
        <v>1</v>
      </c>
      <c r="N11" s="30">
        <f>D11*M11</f>
        <v>3.8617980799999994</v>
      </c>
      <c r="O11" s="173"/>
    </row>
    <row r="12" spans="1:15" x14ac:dyDescent="0.25">
      <c r="A12" s="175"/>
      <c r="B12" s="176"/>
      <c r="C12" s="176"/>
      <c r="D12" s="176"/>
      <c r="E12" s="176"/>
      <c r="F12" s="176"/>
      <c r="G12" s="176"/>
      <c r="H12" s="176"/>
      <c r="I12" s="176"/>
      <c r="J12" s="176"/>
      <c r="K12" s="176"/>
      <c r="L12" s="176"/>
      <c r="M12" s="201" t="s">
        <v>18</v>
      </c>
      <c r="N12" s="202">
        <f>SUM(N11:N11)</f>
        <v>3.8617980799999994</v>
      </c>
      <c r="O12" s="156"/>
    </row>
    <row r="13" spans="1:15" x14ac:dyDescent="0.25">
      <c r="A13" s="160"/>
      <c r="B13" s="154"/>
      <c r="C13" s="154"/>
      <c r="D13" s="154"/>
      <c r="E13" s="154"/>
      <c r="F13" s="154"/>
      <c r="G13" s="154"/>
      <c r="H13" s="154"/>
      <c r="I13" s="154"/>
      <c r="J13" s="154"/>
      <c r="K13" s="154"/>
      <c r="L13" s="154"/>
      <c r="M13" s="154"/>
      <c r="N13" s="154"/>
      <c r="O13" s="156"/>
    </row>
    <row r="14" spans="1:15" x14ac:dyDescent="0.25">
      <c r="A14" s="204" t="s">
        <v>14</v>
      </c>
      <c r="B14" s="196" t="s">
        <v>31</v>
      </c>
      <c r="C14" s="196" t="s">
        <v>20</v>
      </c>
      <c r="D14" s="196" t="s">
        <v>21</v>
      </c>
      <c r="E14" s="196" t="s">
        <v>32</v>
      </c>
      <c r="F14" s="196" t="s">
        <v>17</v>
      </c>
      <c r="G14" s="196" t="s">
        <v>33</v>
      </c>
      <c r="H14" s="196" t="s">
        <v>34</v>
      </c>
      <c r="I14" s="196" t="s">
        <v>18</v>
      </c>
      <c r="J14" s="176"/>
      <c r="K14" s="176"/>
      <c r="L14" s="176"/>
      <c r="M14" s="176"/>
      <c r="N14" s="176"/>
      <c r="O14" s="156"/>
    </row>
    <row r="15" spans="1:15" x14ac:dyDescent="0.25">
      <c r="A15" s="141">
        <v>10</v>
      </c>
      <c r="B15" s="141" t="s">
        <v>139</v>
      </c>
      <c r="C15" s="141" t="s">
        <v>140</v>
      </c>
      <c r="D15" s="217">
        <v>25</v>
      </c>
      <c r="E15" s="216" t="s">
        <v>141</v>
      </c>
      <c r="F15" s="219">
        <f>J11*K11*L11</f>
        <v>1.9308990399999997E-2</v>
      </c>
      <c r="G15" s="215"/>
      <c r="H15" s="215"/>
      <c r="I15" s="218">
        <f>IF(H15="",D15*F15,D15*F15*H15)</f>
        <v>0.48272475999999992</v>
      </c>
      <c r="J15" s="184"/>
      <c r="K15" s="184"/>
      <c r="L15" s="184"/>
      <c r="M15" s="184"/>
      <c r="N15" s="184"/>
      <c r="O15" s="177"/>
    </row>
    <row r="16" spans="1:15" x14ac:dyDescent="0.25">
      <c r="A16" s="175"/>
      <c r="B16" s="176"/>
      <c r="C16" s="176"/>
      <c r="D16" s="176"/>
      <c r="E16" s="176"/>
      <c r="F16" s="176"/>
      <c r="G16" s="176"/>
      <c r="H16" s="208" t="s">
        <v>18</v>
      </c>
      <c r="I16" s="202">
        <f>SUM(I15:I15)</f>
        <v>0.48272475999999992</v>
      </c>
      <c r="J16" s="176"/>
      <c r="K16" s="176"/>
      <c r="L16" s="176"/>
      <c r="M16" s="176"/>
      <c r="N16" s="176"/>
      <c r="O16" s="156"/>
    </row>
    <row r="17" spans="1:15" ht="15.75" thickBot="1" x14ac:dyDescent="0.3">
      <c r="A17" s="185"/>
      <c r="B17" s="186"/>
      <c r="C17" s="186"/>
      <c r="D17" s="186"/>
      <c r="E17" s="186"/>
      <c r="F17" s="186"/>
      <c r="G17" s="186"/>
      <c r="H17" s="186"/>
      <c r="I17" s="186"/>
      <c r="J17" s="186"/>
      <c r="K17" s="186"/>
      <c r="L17" s="186"/>
      <c r="M17" s="186"/>
      <c r="N17" s="186"/>
      <c r="O17" s="187"/>
    </row>
  </sheetData>
  <hyperlinks>
    <hyperlink ref="B4" location="SU_A0300" display="Upper Back A-arm" xr:uid="{00000000-0004-0000-3100-000000000000}"/>
    <hyperlink ref="G2" location="SU_A0300_BOM" display="Back to BOM" xr:uid="{00000000-0004-0000-31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0" fitToHeight="99" orientation="landscape" r:id="rId1"/>
  <headerFooter>
    <oddFooter>Page &amp;P</oddFooter>
  </headerFooter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sheetPr>
    <tabColor rgb="FFFFFF66"/>
    <pageSetUpPr fitToPage="1"/>
  </sheetPr>
  <dimension ref="A1:Q18"/>
  <sheetViews>
    <sheetView zoomScale="90" zoomScaleNormal="90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1.42578125" style="151"/>
    <col min="2" max="2" width="25.140625" style="151" customWidth="1"/>
    <col min="3" max="3" width="30.5703125" style="151" customWidth="1"/>
    <col min="4" max="8" width="11.42578125" style="151"/>
    <col min="9" max="9" width="14" style="151" customWidth="1"/>
    <col min="10" max="16" width="11.42578125" style="151"/>
    <col min="17" max="17" width="12.85546875" style="151" bestFit="1" customWidth="1"/>
    <col min="18" max="16384" width="11.42578125" style="151"/>
  </cols>
  <sheetData>
    <row r="1" spans="1:17" x14ac:dyDescent="0.25">
      <c r="A1" s="575"/>
      <c r="B1" s="576"/>
      <c r="C1" s="576"/>
      <c r="D1" s="576"/>
      <c r="E1" s="576"/>
      <c r="F1" s="576"/>
      <c r="G1" s="576"/>
      <c r="H1" s="576"/>
      <c r="I1" s="576"/>
      <c r="J1" s="576"/>
      <c r="K1" s="576"/>
      <c r="L1" s="576"/>
      <c r="M1" s="576"/>
      <c r="N1" s="576"/>
      <c r="O1" s="577"/>
    </row>
    <row r="2" spans="1:17" x14ac:dyDescent="0.25">
      <c r="A2" s="578" t="s">
        <v>0</v>
      </c>
      <c r="B2" s="579" t="s">
        <v>37</v>
      </c>
      <c r="C2" s="579"/>
      <c r="D2" s="579"/>
      <c r="E2" s="579"/>
      <c r="F2" s="579"/>
      <c r="G2" s="580" t="s">
        <v>62</v>
      </c>
      <c r="H2" s="579"/>
      <c r="I2" s="579"/>
      <c r="J2" s="581" t="s">
        <v>1</v>
      </c>
      <c r="K2" s="582">
        <v>81</v>
      </c>
      <c r="L2" s="579"/>
      <c r="M2" s="578" t="s">
        <v>16</v>
      </c>
      <c r="N2" s="583">
        <f>N12+I17</f>
        <v>0.7197472800000001</v>
      </c>
      <c r="O2" s="584"/>
    </row>
    <row r="3" spans="1:17" x14ac:dyDescent="0.25">
      <c r="A3" s="578" t="s">
        <v>3</v>
      </c>
      <c r="B3" s="579" t="str">
        <f>'SU A0300'!B3</f>
        <v>Suspension &amp; Shocks</v>
      </c>
      <c r="C3" s="579"/>
      <c r="D3" s="578" t="s">
        <v>6</v>
      </c>
      <c r="E3" s="585" t="s">
        <v>60</v>
      </c>
      <c r="F3" s="579"/>
      <c r="G3" s="579"/>
      <c r="H3" s="579"/>
      <c r="I3" s="579"/>
      <c r="J3" s="579"/>
      <c r="K3" s="579"/>
      <c r="L3" s="579"/>
      <c r="M3" s="578" t="s">
        <v>4</v>
      </c>
      <c r="N3" s="586">
        <v>2</v>
      </c>
      <c r="O3" s="584"/>
    </row>
    <row r="4" spans="1:17" x14ac:dyDescent="0.25">
      <c r="A4" s="578" t="s">
        <v>5</v>
      </c>
      <c r="B4" s="580" t="s">
        <v>126</v>
      </c>
      <c r="C4" s="579"/>
      <c r="D4" s="578" t="s">
        <v>8</v>
      </c>
      <c r="E4" s="579"/>
      <c r="F4" s="579"/>
      <c r="G4" s="579"/>
      <c r="H4" s="579"/>
      <c r="I4" s="579"/>
      <c r="J4" s="587" t="s">
        <v>6</v>
      </c>
      <c r="K4" s="579"/>
      <c r="L4" s="579"/>
      <c r="M4" s="579"/>
      <c r="N4" s="579"/>
      <c r="O4" s="584"/>
    </row>
    <row r="5" spans="1:17" x14ac:dyDescent="0.25">
      <c r="A5" s="578" t="s">
        <v>15</v>
      </c>
      <c r="B5" s="588" t="s">
        <v>122</v>
      </c>
      <c r="C5" s="579"/>
      <c r="D5" s="578" t="s">
        <v>12</v>
      </c>
      <c r="E5" s="579"/>
      <c r="F5" s="579"/>
      <c r="G5" s="579"/>
      <c r="H5" s="579"/>
      <c r="I5" s="579"/>
      <c r="J5" s="587" t="s">
        <v>8</v>
      </c>
      <c r="K5" s="579"/>
      <c r="L5" s="579"/>
      <c r="M5" s="578" t="s">
        <v>9</v>
      </c>
      <c r="N5" s="583">
        <f>N3*N2</f>
        <v>1.4394945600000002</v>
      </c>
      <c r="O5" s="584"/>
    </row>
    <row r="6" spans="1:17" x14ac:dyDescent="0.25">
      <c r="A6" s="578" t="s">
        <v>7</v>
      </c>
      <c r="B6" s="589" t="s">
        <v>136</v>
      </c>
      <c r="C6" s="579"/>
      <c r="D6" s="579"/>
      <c r="E6" s="579"/>
      <c r="F6" s="579"/>
      <c r="G6" s="579"/>
      <c r="H6" s="579"/>
      <c r="I6" s="579"/>
      <c r="J6" s="587" t="s">
        <v>12</v>
      </c>
      <c r="K6" s="579"/>
      <c r="L6" s="579"/>
      <c r="M6" s="579"/>
      <c r="N6" s="579"/>
      <c r="O6" s="584"/>
    </row>
    <row r="7" spans="1:17" x14ac:dyDescent="0.25">
      <c r="A7" s="578" t="s">
        <v>10</v>
      </c>
      <c r="B7" s="579"/>
      <c r="C7" s="579"/>
      <c r="D7" s="579"/>
      <c r="E7" s="579"/>
      <c r="F7" s="579"/>
      <c r="G7" s="579"/>
      <c r="H7" s="579"/>
      <c r="I7" s="579"/>
      <c r="J7" s="579"/>
      <c r="K7" s="579"/>
      <c r="L7" s="579"/>
      <c r="M7" s="579"/>
      <c r="N7" s="579"/>
      <c r="O7" s="584"/>
    </row>
    <row r="8" spans="1:17" x14ac:dyDescent="0.25">
      <c r="A8" s="578" t="s">
        <v>13</v>
      </c>
      <c r="B8" s="579"/>
      <c r="C8" s="579"/>
      <c r="D8" s="579"/>
      <c r="E8" s="579"/>
      <c r="F8" s="579"/>
      <c r="G8" s="579"/>
      <c r="H8" s="579"/>
      <c r="I8" s="579"/>
      <c r="J8" s="579"/>
      <c r="K8" s="579"/>
      <c r="L8" s="579"/>
      <c r="M8" s="579"/>
      <c r="N8" s="579"/>
      <c r="O8" s="584"/>
    </row>
    <row r="9" spans="1:17" x14ac:dyDescent="0.25">
      <c r="A9" s="590"/>
      <c r="B9" s="591"/>
      <c r="C9" s="591"/>
      <c r="D9" s="591"/>
      <c r="E9" s="591"/>
      <c r="F9" s="579"/>
      <c r="G9" s="579"/>
      <c r="H9" s="579"/>
      <c r="I9" s="579"/>
      <c r="J9" s="579"/>
      <c r="K9" s="579"/>
      <c r="L9" s="579"/>
      <c r="M9" s="579"/>
      <c r="N9" s="579"/>
      <c r="O9" s="584"/>
    </row>
    <row r="10" spans="1:17" x14ac:dyDescent="0.25">
      <c r="A10" s="592" t="s">
        <v>14</v>
      </c>
      <c r="B10" s="593" t="s">
        <v>19</v>
      </c>
      <c r="C10" s="593" t="s">
        <v>20</v>
      </c>
      <c r="D10" s="593" t="s">
        <v>21</v>
      </c>
      <c r="E10" s="593" t="s">
        <v>22</v>
      </c>
      <c r="F10" s="594" t="s">
        <v>23</v>
      </c>
      <c r="G10" s="594" t="s">
        <v>24</v>
      </c>
      <c r="H10" s="594" t="s">
        <v>25</v>
      </c>
      <c r="I10" s="594" t="s">
        <v>26</v>
      </c>
      <c r="J10" s="594" t="s">
        <v>27</v>
      </c>
      <c r="K10" s="594" t="s">
        <v>28</v>
      </c>
      <c r="L10" s="594" t="s">
        <v>29</v>
      </c>
      <c r="M10" s="594" t="s">
        <v>17</v>
      </c>
      <c r="N10" s="594" t="s">
        <v>18</v>
      </c>
      <c r="O10" s="584"/>
    </row>
    <row r="11" spans="1:17" x14ac:dyDescent="0.25">
      <c r="A11" s="595">
        <v>10</v>
      </c>
      <c r="B11" s="596" t="s">
        <v>98</v>
      </c>
      <c r="C11" s="597" t="s">
        <v>38</v>
      </c>
      <c r="D11" s="598">
        <v>2.25</v>
      </c>
      <c r="E11" s="599">
        <f>J11*K11*L11/1000000000</f>
        <v>7.8876800000000011E-3</v>
      </c>
      <c r="F11" s="597" t="s">
        <v>94</v>
      </c>
      <c r="G11" s="597"/>
      <c r="H11" s="600"/>
      <c r="I11" s="601" t="s">
        <v>97</v>
      </c>
      <c r="J11" s="602">
        <f>3.14*8*8</f>
        <v>200.96</v>
      </c>
      <c r="K11" s="603">
        <v>5</v>
      </c>
      <c r="L11" s="604">
        <v>7850</v>
      </c>
      <c r="M11" s="605">
        <v>1</v>
      </c>
      <c r="N11" s="598">
        <f>D11*E11</f>
        <v>1.7747280000000004E-2</v>
      </c>
      <c r="O11" s="606"/>
      <c r="Q11" s="203"/>
    </row>
    <row r="12" spans="1:17" x14ac:dyDescent="0.25">
      <c r="A12" s="607"/>
      <c r="B12" s="608"/>
      <c r="C12" s="608"/>
      <c r="D12" s="608"/>
      <c r="E12" s="608"/>
      <c r="F12" s="608"/>
      <c r="G12" s="608"/>
      <c r="H12" s="608"/>
      <c r="I12" s="608"/>
      <c r="J12" s="608"/>
      <c r="K12" s="608"/>
      <c r="L12" s="608"/>
      <c r="M12" s="609" t="s">
        <v>18</v>
      </c>
      <c r="N12" s="610">
        <f>SUM(N11:N11)</f>
        <v>1.7747280000000004E-2</v>
      </c>
      <c r="O12" s="584"/>
    </row>
    <row r="13" spans="1:17" x14ac:dyDescent="0.25">
      <c r="A13" s="611"/>
      <c r="B13" s="579"/>
      <c r="C13" s="579"/>
      <c r="D13" s="579"/>
      <c r="E13" s="579"/>
      <c r="F13" s="579"/>
      <c r="G13" s="579"/>
      <c r="H13" s="579"/>
      <c r="I13" s="579"/>
      <c r="J13" s="579"/>
      <c r="K13" s="579"/>
      <c r="L13" s="579"/>
      <c r="M13" s="579"/>
      <c r="N13" s="579"/>
      <c r="O13" s="584"/>
    </row>
    <row r="14" spans="1:17" x14ac:dyDescent="0.25">
      <c r="A14" s="612" t="s">
        <v>14</v>
      </c>
      <c r="B14" s="594" t="s">
        <v>31</v>
      </c>
      <c r="C14" s="594" t="s">
        <v>20</v>
      </c>
      <c r="D14" s="594" t="s">
        <v>21</v>
      </c>
      <c r="E14" s="594" t="s">
        <v>32</v>
      </c>
      <c r="F14" s="594" t="s">
        <v>17</v>
      </c>
      <c r="G14" s="594" t="s">
        <v>33</v>
      </c>
      <c r="H14" s="594" t="s">
        <v>34</v>
      </c>
      <c r="I14" s="594" t="s">
        <v>18</v>
      </c>
      <c r="J14" s="608"/>
      <c r="K14" s="608"/>
      <c r="L14" s="608"/>
      <c r="M14" s="608"/>
      <c r="N14" s="608"/>
      <c r="O14" s="584"/>
    </row>
    <row r="15" spans="1:17" ht="30" x14ac:dyDescent="0.25">
      <c r="A15" s="613">
        <v>10</v>
      </c>
      <c r="B15" s="614" t="s">
        <v>39</v>
      </c>
      <c r="C15" s="615" t="s">
        <v>68</v>
      </c>
      <c r="D15" s="616">
        <v>1.3</v>
      </c>
      <c r="E15" s="614" t="s">
        <v>35</v>
      </c>
      <c r="F15" s="615">
        <v>1</v>
      </c>
      <c r="G15" s="615" t="s">
        <v>556</v>
      </c>
      <c r="H15" s="615">
        <f>1/2</f>
        <v>0.5</v>
      </c>
      <c r="I15" s="616">
        <f t="shared" ref="I15:I16" si="0">IF(H15="",D15*F15,D15*F15*H15)</f>
        <v>0.65</v>
      </c>
      <c r="J15" s="617"/>
      <c r="K15" s="617"/>
      <c r="L15" s="617"/>
      <c r="M15" s="617"/>
      <c r="N15" s="617"/>
      <c r="O15" s="618"/>
    </row>
    <row r="16" spans="1:17" x14ac:dyDescent="0.25">
      <c r="A16" s="619">
        <v>60</v>
      </c>
      <c r="B16" s="620" t="s">
        <v>92</v>
      </c>
      <c r="C16" s="385" t="s">
        <v>196</v>
      </c>
      <c r="D16" s="598">
        <v>0.04</v>
      </c>
      <c r="E16" s="614" t="s">
        <v>93</v>
      </c>
      <c r="F16" s="621">
        <v>1.3</v>
      </c>
      <c r="G16" s="621"/>
      <c r="H16" s="621"/>
      <c r="I16" s="598">
        <f t="shared" si="0"/>
        <v>5.2000000000000005E-2</v>
      </c>
      <c r="J16" s="579"/>
      <c r="K16" s="579"/>
      <c r="L16" s="579"/>
      <c r="M16" s="579"/>
      <c r="N16" s="579"/>
      <c r="O16" s="584"/>
    </row>
    <row r="17" spans="1:15" x14ac:dyDescent="0.25">
      <c r="A17" s="607"/>
      <c r="B17" s="608"/>
      <c r="C17" s="608"/>
      <c r="D17" s="608"/>
      <c r="E17" s="608"/>
      <c r="F17" s="608"/>
      <c r="G17" s="608"/>
      <c r="H17" s="622" t="s">
        <v>18</v>
      </c>
      <c r="I17" s="610">
        <f>SUM(I15:I16)</f>
        <v>0.70200000000000007</v>
      </c>
      <c r="J17" s="608"/>
      <c r="K17" s="608"/>
      <c r="L17" s="608"/>
      <c r="M17" s="608"/>
      <c r="N17" s="608"/>
      <c r="O17" s="584"/>
    </row>
    <row r="18" spans="1:15" ht="15.75" thickBot="1" x14ac:dyDescent="0.3">
      <c r="A18" s="623"/>
      <c r="B18" s="624"/>
      <c r="C18" s="624"/>
      <c r="D18" s="624"/>
      <c r="E18" s="624"/>
      <c r="F18" s="624"/>
      <c r="G18" s="624"/>
      <c r="H18" s="624"/>
      <c r="I18" s="624"/>
      <c r="J18" s="624"/>
      <c r="K18" s="624"/>
      <c r="L18" s="624"/>
      <c r="M18" s="624"/>
      <c r="N18" s="624"/>
      <c r="O18" s="625"/>
    </row>
  </sheetData>
  <hyperlinks>
    <hyperlink ref="B4" location="SU_A0300" display="Upper Back A-arm" xr:uid="{00000000-0004-0000-3200-000000000000}"/>
    <hyperlink ref="E3" location="dSU_03005" display="Drawing" xr:uid="{00000000-0004-0000-3200-000001000000}"/>
    <hyperlink ref="G2" location="SU_A0300_BOM" display="Back to BOM" xr:uid="{00000000-0004-0000-32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4.28515625" style="151" customWidth="1"/>
    <col min="2" max="16384" width="11.42578125" style="151"/>
  </cols>
  <sheetData>
    <row r="1" spans="1:2" x14ac:dyDescent="0.25">
      <c r="A1" s="151" t="s">
        <v>99</v>
      </c>
      <c r="B1" s="214" t="str">
        <f>'SU 03005'!B6</f>
        <v>SU 03005</v>
      </c>
    </row>
  </sheetData>
  <hyperlinks>
    <hyperlink ref="B1" location="SU_03005" display="SU_03005" xr:uid="{00000000-0004-0000-33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sheetPr>
    <tabColor rgb="FFFFFF66"/>
    <pageSetUpPr fitToPage="1"/>
  </sheetPr>
  <dimension ref="A1:P19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3" width="19.28515625" customWidth="1"/>
  </cols>
  <sheetData>
    <row r="1" spans="1:16" x14ac:dyDescent="0.25">
      <c r="A1" s="575"/>
      <c r="B1" s="576"/>
      <c r="C1" s="576"/>
      <c r="D1" s="576"/>
      <c r="E1" s="576"/>
      <c r="F1" s="576"/>
      <c r="G1" s="576"/>
      <c r="H1" s="576"/>
      <c r="I1" s="576"/>
      <c r="J1" s="576"/>
      <c r="K1" s="576"/>
      <c r="L1" s="576"/>
      <c r="M1" s="576"/>
      <c r="N1" s="576"/>
      <c r="O1" s="577"/>
      <c r="P1" s="151"/>
    </row>
    <row r="2" spans="1:16" x14ac:dyDescent="0.25">
      <c r="A2" s="578" t="s">
        <v>0</v>
      </c>
      <c r="B2" s="579" t="s">
        <v>37</v>
      </c>
      <c r="C2" s="579"/>
      <c r="D2" s="579"/>
      <c r="E2" s="579"/>
      <c r="F2" s="579"/>
      <c r="G2" s="580" t="s">
        <v>62</v>
      </c>
      <c r="H2" s="579"/>
      <c r="I2" s="579"/>
      <c r="J2" s="581" t="s">
        <v>1</v>
      </c>
      <c r="K2" s="582">
        <v>81</v>
      </c>
      <c r="L2" s="579"/>
      <c r="M2" s="578" t="s">
        <v>16</v>
      </c>
      <c r="N2" s="583">
        <f>N12+I17</f>
        <v>0.32421353411764708</v>
      </c>
      <c r="O2" s="584"/>
      <c r="P2" s="151"/>
    </row>
    <row r="3" spans="1:16" x14ac:dyDescent="0.25">
      <c r="A3" s="578" t="s">
        <v>3</v>
      </c>
      <c r="B3" s="579" t="str">
        <f>'SU A0300'!B3</f>
        <v>Suspension &amp; Shocks</v>
      </c>
      <c r="C3" s="579"/>
      <c r="D3" s="578" t="s">
        <v>6</v>
      </c>
      <c r="E3" s="585" t="s">
        <v>60</v>
      </c>
      <c r="F3" s="579"/>
      <c r="G3" s="579"/>
      <c r="H3" s="579"/>
      <c r="I3" s="579"/>
      <c r="J3" s="579"/>
      <c r="K3" s="579"/>
      <c r="L3" s="579"/>
      <c r="M3" s="578" t="s">
        <v>4</v>
      </c>
      <c r="N3" s="586">
        <v>4</v>
      </c>
      <c r="O3" s="584"/>
      <c r="P3" s="151"/>
    </row>
    <row r="4" spans="1:16" x14ac:dyDescent="0.25">
      <c r="A4" s="578" t="s">
        <v>5</v>
      </c>
      <c r="B4" s="580" t="s">
        <v>126</v>
      </c>
      <c r="C4" s="579"/>
      <c r="D4" s="578" t="s">
        <v>8</v>
      </c>
      <c r="E4" s="579"/>
      <c r="F4" s="579"/>
      <c r="G4" s="579"/>
      <c r="H4" s="579"/>
      <c r="I4" s="579"/>
      <c r="J4" s="587" t="s">
        <v>6</v>
      </c>
      <c r="K4" s="579"/>
      <c r="L4" s="579"/>
      <c r="M4" s="579"/>
      <c r="N4" s="579"/>
      <c r="O4" s="584"/>
      <c r="P4" s="151"/>
    </row>
    <row r="5" spans="1:16" x14ac:dyDescent="0.25">
      <c r="A5" s="578" t="s">
        <v>15</v>
      </c>
      <c r="B5" s="588" t="s">
        <v>121</v>
      </c>
      <c r="C5" s="579"/>
      <c r="D5" s="578" t="s">
        <v>12</v>
      </c>
      <c r="E5" s="579"/>
      <c r="F5" s="579"/>
      <c r="G5" s="579"/>
      <c r="H5" s="579"/>
      <c r="I5" s="579"/>
      <c r="J5" s="587" t="s">
        <v>8</v>
      </c>
      <c r="K5" s="579"/>
      <c r="L5" s="579"/>
      <c r="M5" s="578" t="s">
        <v>9</v>
      </c>
      <c r="N5" s="583">
        <f>N3*N2</f>
        <v>1.2968541364705883</v>
      </c>
      <c r="O5" s="584"/>
      <c r="P5" s="151"/>
    </row>
    <row r="6" spans="1:16" x14ac:dyDescent="0.25">
      <c r="A6" s="578" t="s">
        <v>7</v>
      </c>
      <c r="B6" s="589" t="s">
        <v>135</v>
      </c>
      <c r="C6" s="579"/>
      <c r="D6" s="579"/>
      <c r="E6" s="579"/>
      <c r="F6" s="579"/>
      <c r="G6" s="579"/>
      <c r="H6" s="579"/>
      <c r="I6" s="579"/>
      <c r="J6" s="587" t="s">
        <v>12</v>
      </c>
      <c r="K6" s="579"/>
      <c r="L6" s="579"/>
      <c r="M6" s="579"/>
      <c r="N6" s="579"/>
      <c r="O6" s="584"/>
      <c r="P6" s="151"/>
    </row>
    <row r="7" spans="1:16" x14ac:dyDescent="0.25">
      <c r="A7" s="578" t="s">
        <v>10</v>
      </c>
      <c r="B7" s="579"/>
      <c r="C7" s="579"/>
      <c r="D7" s="579"/>
      <c r="E7" s="579"/>
      <c r="F7" s="579"/>
      <c r="G7" s="579"/>
      <c r="H7" s="579"/>
      <c r="I7" s="579"/>
      <c r="J7" s="579"/>
      <c r="K7" s="579"/>
      <c r="L7" s="579"/>
      <c r="M7" s="579"/>
      <c r="N7" s="579"/>
      <c r="O7" s="584"/>
      <c r="P7" s="151"/>
    </row>
    <row r="8" spans="1:16" x14ac:dyDescent="0.25">
      <c r="A8" s="578" t="s">
        <v>13</v>
      </c>
      <c r="B8" s="579"/>
      <c r="C8" s="579"/>
      <c r="D8" s="579"/>
      <c r="E8" s="579"/>
      <c r="F8" s="579"/>
      <c r="G8" s="579"/>
      <c r="H8" s="579"/>
      <c r="I8" s="579"/>
      <c r="J8" s="579"/>
      <c r="K8" s="579"/>
      <c r="L8" s="579"/>
      <c r="M8" s="579"/>
      <c r="N8" s="579"/>
      <c r="O8" s="584"/>
      <c r="P8" s="151"/>
    </row>
    <row r="9" spans="1:16" x14ac:dyDescent="0.25">
      <c r="A9" s="590"/>
      <c r="B9" s="591"/>
      <c r="C9" s="591"/>
      <c r="D9" s="591"/>
      <c r="E9" s="591"/>
      <c r="F9" s="579"/>
      <c r="G9" s="579"/>
      <c r="H9" s="579"/>
      <c r="I9" s="579"/>
      <c r="J9" s="579"/>
      <c r="K9" s="579"/>
      <c r="L9" s="579"/>
      <c r="M9" s="579"/>
      <c r="N9" s="579"/>
      <c r="O9" s="584"/>
      <c r="P9" s="151"/>
    </row>
    <row r="10" spans="1:16" x14ac:dyDescent="0.25">
      <c r="A10" s="592" t="s">
        <v>14</v>
      </c>
      <c r="B10" s="593" t="s">
        <v>19</v>
      </c>
      <c r="C10" s="593" t="s">
        <v>20</v>
      </c>
      <c r="D10" s="593" t="s">
        <v>21</v>
      </c>
      <c r="E10" s="593" t="s">
        <v>22</v>
      </c>
      <c r="F10" s="594" t="s">
        <v>23</v>
      </c>
      <c r="G10" s="594" t="s">
        <v>24</v>
      </c>
      <c r="H10" s="594" t="s">
        <v>25</v>
      </c>
      <c r="I10" s="594" t="s">
        <v>26</v>
      </c>
      <c r="J10" s="594" t="s">
        <v>27</v>
      </c>
      <c r="K10" s="594" t="s">
        <v>28</v>
      </c>
      <c r="L10" s="594" t="s">
        <v>29</v>
      </c>
      <c r="M10" s="594" t="s">
        <v>17</v>
      </c>
      <c r="N10" s="594" t="s">
        <v>18</v>
      </c>
      <c r="O10" s="584"/>
      <c r="P10" s="151"/>
    </row>
    <row r="11" spans="1:16" x14ac:dyDescent="0.25">
      <c r="A11" s="310">
        <v>10</v>
      </c>
      <c r="B11" s="509" t="s">
        <v>204</v>
      </c>
      <c r="C11" s="557"/>
      <c r="D11" s="558">
        <v>2.25</v>
      </c>
      <c r="E11" s="362">
        <f>J11*K11*L11</f>
        <v>6.3101440000000009E-2</v>
      </c>
      <c r="F11" s="360" t="s">
        <v>94</v>
      </c>
      <c r="G11" s="360"/>
      <c r="H11" s="361"/>
      <c r="I11" s="362" t="s">
        <v>97</v>
      </c>
      <c r="J11" s="363">
        <f>3.14*8*8/1000000</f>
        <v>2.0096E-4</v>
      </c>
      <c r="K11" s="387">
        <v>0.04</v>
      </c>
      <c r="L11" s="365">
        <v>7850</v>
      </c>
      <c r="M11" s="366">
        <v>1</v>
      </c>
      <c r="N11" s="367">
        <f>D11*E11*M11</f>
        <v>0.14197824000000003</v>
      </c>
      <c r="O11" s="368"/>
    </row>
    <row r="12" spans="1:16" x14ac:dyDescent="0.25">
      <c r="A12" s="607"/>
      <c r="B12" s="608"/>
      <c r="C12" s="608"/>
      <c r="D12" s="608"/>
      <c r="E12" s="608"/>
      <c r="F12" s="608"/>
      <c r="G12" s="608"/>
      <c r="H12" s="608"/>
      <c r="I12" s="608"/>
      <c r="J12" s="608"/>
      <c r="K12" s="608"/>
      <c r="L12" s="608"/>
      <c r="M12" s="609" t="s">
        <v>18</v>
      </c>
      <c r="N12" s="610">
        <f>SUM(N11:N11)</f>
        <v>0.14197824000000003</v>
      </c>
      <c r="O12" s="584"/>
      <c r="P12" s="151"/>
    </row>
    <row r="13" spans="1:16" x14ac:dyDescent="0.25">
      <c r="A13" s="611"/>
      <c r="B13" s="579"/>
      <c r="C13" s="579"/>
      <c r="D13" s="579"/>
      <c r="E13" s="579"/>
      <c r="F13" s="579"/>
      <c r="G13" s="579"/>
      <c r="H13" s="579"/>
      <c r="I13" s="579"/>
      <c r="J13" s="579"/>
      <c r="K13" s="579"/>
      <c r="L13" s="579"/>
      <c r="M13" s="579"/>
      <c r="N13" s="579"/>
      <c r="O13" s="584"/>
      <c r="P13" s="151"/>
    </row>
    <row r="14" spans="1:16" x14ac:dyDescent="0.25">
      <c r="A14" s="612" t="s">
        <v>14</v>
      </c>
      <c r="B14" s="594" t="s">
        <v>31</v>
      </c>
      <c r="C14" s="594" t="s">
        <v>20</v>
      </c>
      <c r="D14" s="594" t="s">
        <v>21</v>
      </c>
      <c r="E14" s="594" t="s">
        <v>32</v>
      </c>
      <c r="F14" s="594" t="s">
        <v>17</v>
      </c>
      <c r="G14" s="594" t="s">
        <v>33</v>
      </c>
      <c r="H14" s="594" t="s">
        <v>34</v>
      </c>
      <c r="I14" s="594" t="s">
        <v>18</v>
      </c>
      <c r="J14" s="608"/>
      <c r="K14" s="608"/>
      <c r="L14" s="608"/>
      <c r="M14" s="608"/>
      <c r="N14" s="608"/>
      <c r="O14" s="584"/>
      <c r="P14" s="151"/>
    </row>
    <row r="15" spans="1:16" ht="46.15" customHeight="1" x14ac:dyDescent="0.25">
      <c r="A15" s="327">
        <v>10</v>
      </c>
      <c r="B15" s="327" t="s">
        <v>39</v>
      </c>
      <c r="C15" s="327" t="s">
        <v>68</v>
      </c>
      <c r="D15" s="332">
        <v>1.3</v>
      </c>
      <c r="E15" s="327" t="s">
        <v>32</v>
      </c>
      <c r="F15" s="231">
        <v>1</v>
      </c>
      <c r="G15" s="326" t="s">
        <v>551</v>
      </c>
      <c r="H15" s="1170">
        <v>2.9411764705882353E-2</v>
      </c>
      <c r="I15" s="334">
        <f>IF(H15="",D15*F15,D15*F15*H15)</f>
        <v>3.8235294117647062E-2</v>
      </c>
      <c r="J15" s="376"/>
      <c r="K15" s="376"/>
      <c r="L15" s="376"/>
      <c r="M15" s="376"/>
      <c r="N15" s="376"/>
      <c r="O15" s="377"/>
    </row>
    <row r="16" spans="1:16" x14ac:dyDescent="0.25">
      <c r="A16" s="385">
        <v>20</v>
      </c>
      <c r="B16" s="385" t="s">
        <v>92</v>
      </c>
      <c r="C16" s="385" t="s">
        <v>196</v>
      </c>
      <c r="D16" s="386">
        <v>0.04</v>
      </c>
      <c r="E16" s="385" t="s">
        <v>93</v>
      </c>
      <c r="F16" s="385">
        <v>1.2</v>
      </c>
      <c r="G16" s="385" t="s">
        <v>197</v>
      </c>
      <c r="H16" s="385">
        <v>3</v>
      </c>
      <c r="I16" s="334">
        <f>IF(H16="",D16*F16,D16*F16*H16)</f>
        <v>0.14400000000000002</v>
      </c>
      <c r="J16" s="340"/>
      <c r="K16" s="340"/>
      <c r="L16" s="340"/>
      <c r="M16" s="340"/>
      <c r="N16" s="340"/>
      <c r="O16" s="345"/>
    </row>
    <row r="17" spans="1:16" x14ac:dyDescent="0.25">
      <c r="A17" s="607"/>
      <c r="B17" s="608"/>
      <c r="C17" s="608"/>
      <c r="D17" s="608"/>
      <c r="E17" s="608"/>
      <c r="F17" s="608"/>
      <c r="G17" s="608"/>
      <c r="H17" s="622" t="s">
        <v>18</v>
      </c>
      <c r="I17" s="610">
        <f>SUM(I15:I16)</f>
        <v>0.18223529411764708</v>
      </c>
      <c r="J17" s="608"/>
      <c r="K17" s="608"/>
      <c r="L17" s="608"/>
      <c r="M17" s="608"/>
      <c r="N17" s="608"/>
      <c r="O17" s="584"/>
      <c r="P17" s="151"/>
    </row>
    <row r="18" spans="1:16" ht="15.75" thickBot="1" x14ac:dyDescent="0.3">
      <c r="A18" s="623"/>
      <c r="B18" s="624"/>
      <c r="C18" s="624"/>
      <c r="D18" s="624"/>
      <c r="E18" s="624"/>
      <c r="F18" s="624"/>
      <c r="G18" s="624"/>
      <c r="H18" s="624"/>
      <c r="I18" s="624"/>
      <c r="J18" s="624"/>
      <c r="K18" s="624"/>
      <c r="L18" s="624"/>
      <c r="M18" s="624"/>
      <c r="N18" s="624"/>
      <c r="O18" s="625"/>
      <c r="P18" s="151"/>
    </row>
    <row r="19" spans="1:16" x14ac:dyDescent="0.25">
      <c r="A19" s="151"/>
      <c r="B19" s="151"/>
      <c r="C19" s="151"/>
      <c r="D19" s="151"/>
      <c r="E19" s="151"/>
      <c r="F19" s="151"/>
      <c r="G19" s="151"/>
      <c r="H19" s="151"/>
      <c r="I19" s="151"/>
      <c r="J19" s="151"/>
      <c r="K19" s="151"/>
      <c r="L19" s="151"/>
      <c r="M19" s="151"/>
      <c r="N19" s="151"/>
      <c r="O19" s="151"/>
      <c r="P19" s="151"/>
    </row>
  </sheetData>
  <hyperlinks>
    <hyperlink ref="G2" location="SU_A0300_BOM" display="Back to BOM" xr:uid="{00000000-0004-0000-3400-000000000000}"/>
    <hyperlink ref="E3" location="dSU_03006" display="Drawing" xr:uid="{00000000-0004-0000-3400-000001000000}"/>
    <hyperlink ref="B4" location="SU_A0300" display="Upper Back A-arm" xr:uid="{00000000-0004-0000-34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5" fitToHeight="99" orientation="landscape" r:id="rId1"/>
  <headerFooter>
    <oddFooter>Page &amp;P</oddFooter>
  </headerFooter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3.42578125" customWidth="1"/>
  </cols>
  <sheetData>
    <row r="1" spans="1:2" x14ac:dyDescent="0.25">
      <c r="A1" s="151" t="s">
        <v>99</v>
      </c>
      <c r="B1" s="214" t="s">
        <v>138</v>
      </c>
    </row>
  </sheetData>
  <hyperlinks>
    <hyperlink ref="B1" location="SU_03006" display="=SU_03006" xr:uid="{00000000-0004-0000-35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sheetPr>
    <tabColor rgb="FFFFFF66"/>
    <pageSetUpPr fitToPage="1"/>
  </sheetPr>
  <dimension ref="A1:Q17"/>
  <sheetViews>
    <sheetView zoomScale="90" zoomScaleNormal="90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1.42578125" style="151"/>
    <col min="2" max="2" width="28.7109375" style="151" customWidth="1"/>
    <col min="3" max="3" width="24.28515625" style="151" customWidth="1"/>
    <col min="4" max="8" width="11.42578125" style="151"/>
    <col min="9" max="9" width="15.28515625" style="151" customWidth="1"/>
    <col min="10" max="16" width="11.42578125" style="151"/>
    <col min="17" max="17" width="12.85546875" style="151" bestFit="1" customWidth="1"/>
    <col min="18" max="16384" width="11.42578125" style="151"/>
  </cols>
  <sheetData>
    <row r="1" spans="1:17" x14ac:dyDescent="0.25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7" x14ac:dyDescent="0.25">
      <c r="A2" s="188" t="s">
        <v>0</v>
      </c>
      <c r="B2" s="153" t="s">
        <v>37</v>
      </c>
      <c r="C2" s="154"/>
      <c r="D2" s="154"/>
      <c r="E2" s="154"/>
      <c r="F2" s="154"/>
      <c r="G2" s="87" t="s">
        <v>62</v>
      </c>
      <c r="H2" s="154"/>
      <c r="I2" s="154"/>
      <c r="J2" s="189" t="s">
        <v>1</v>
      </c>
      <c r="K2" s="155">
        <v>81</v>
      </c>
      <c r="L2" s="154"/>
      <c r="M2" s="188" t="s">
        <v>16</v>
      </c>
      <c r="N2" s="74">
        <f>N12+I16</f>
        <v>0.47719727680000001</v>
      </c>
      <c r="O2" s="156"/>
    </row>
    <row r="3" spans="1:17" x14ac:dyDescent="0.25">
      <c r="A3" s="188" t="s">
        <v>3</v>
      </c>
      <c r="B3" s="153" t="str">
        <f>'SU A0300'!B3</f>
        <v>Suspension &amp; Shocks</v>
      </c>
      <c r="C3" s="154"/>
      <c r="D3" s="188" t="s">
        <v>6</v>
      </c>
      <c r="E3" s="88" t="s">
        <v>60</v>
      </c>
      <c r="F3" s="154"/>
      <c r="G3" s="154"/>
      <c r="H3" s="154"/>
      <c r="I3" s="154"/>
      <c r="J3" s="154"/>
      <c r="K3" s="154"/>
      <c r="L3" s="154"/>
      <c r="M3" s="188" t="s">
        <v>4</v>
      </c>
      <c r="N3" s="82">
        <v>2</v>
      </c>
      <c r="O3" s="156"/>
    </row>
    <row r="4" spans="1:17" x14ac:dyDescent="0.25">
      <c r="A4" s="188" t="s">
        <v>5</v>
      </c>
      <c r="B4" s="87" t="s">
        <v>126</v>
      </c>
      <c r="C4" s="154"/>
      <c r="D4" s="188" t="s">
        <v>8</v>
      </c>
      <c r="E4" s="154"/>
      <c r="F4" s="154"/>
      <c r="G4" s="154"/>
      <c r="H4" s="154"/>
      <c r="I4" s="154"/>
      <c r="J4" s="190" t="s">
        <v>6</v>
      </c>
      <c r="K4" s="154"/>
      <c r="L4" s="154"/>
      <c r="M4" s="154"/>
      <c r="N4" s="154"/>
      <c r="O4" s="156"/>
    </row>
    <row r="5" spans="1:17" x14ac:dyDescent="0.25">
      <c r="A5" s="188" t="s">
        <v>15</v>
      </c>
      <c r="B5" s="161" t="s">
        <v>69</v>
      </c>
      <c r="C5" s="154"/>
      <c r="D5" s="188" t="s">
        <v>12</v>
      </c>
      <c r="E5" s="154"/>
      <c r="F5" s="154"/>
      <c r="G5" s="154"/>
      <c r="H5" s="154"/>
      <c r="I5" s="154"/>
      <c r="J5" s="190" t="s">
        <v>8</v>
      </c>
      <c r="K5" s="154"/>
      <c r="L5" s="154"/>
      <c r="M5" s="188" t="s">
        <v>9</v>
      </c>
      <c r="N5" s="74">
        <f>N3*N2</f>
        <v>0.95439455360000003</v>
      </c>
      <c r="O5" s="156"/>
    </row>
    <row r="6" spans="1:17" x14ac:dyDescent="0.25">
      <c r="A6" s="188" t="s">
        <v>7</v>
      </c>
      <c r="B6" s="191" t="s">
        <v>134</v>
      </c>
      <c r="C6" s="154"/>
      <c r="D6" s="154"/>
      <c r="E6" s="154"/>
      <c r="F6" s="154"/>
      <c r="G6" s="154"/>
      <c r="H6" s="154"/>
      <c r="I6" s="154"/>
      <c r="J6" s="190" t="s">
        <v>12</v>
      </c>
      <c r="K6" s="154"/>
      <c r="L6" s="154"/>
      <c r="M6" s="154"/>
      <c r="N6" s="154"/>
      <c r="O6" s="156"/>
    </row>
    <row r="7" spans="1:17" x14ac:dyDescent="0.25">
      <c r="A7" s="188" t="s">
        <v>10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7" x14ac:dyDescent="0.25">
      <c r="A8" s="188" t="s">
        <v>13</v>
      </c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7" x14ac:dyDescent="0.25">
      <c r="A9" s="192"/>
      <c r="B9" s="193"/>
      <c r="C9" s="193"/>
      <c r="D9" s="193"/>
      <c r="E9" s="193"/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7" customFormat="1" x14ac:dyDescent="0.25">
      <c r="A10" s="353" t="s">
        <v>14</v>
      </c>
      <c r="B10" s="354" t="s">
        <v>19</v>
      </c>
      <c r="C10" s="354" t="s">
        <v>20</v>
      </c>
      <c r="D10" s="354" t="s">
        <v>21</v>
      </c>
      <c r="E10" s="354" t="s">
        <v>22</v>
      </c>
      <c r="F10" s="355" t="s">
        <v>23</v>
      </c>
      <c r="G10" s="355" t="s">
        <v>24</v>
      </c>
      <c r="H10" s="355" t="s">
        <v>25</v>
      </c>
      <c r="I10" s="355" t="s">
        <v>26</v>
      </c>
      <c r="J10" s="355" t="s">
        <v>27</v>
      </c>
      <c r="K10" s="355" t="s">
        <v>28</v>
      </c>
      <c r="L10" s="355" t="s">
        <v>29</v>
      </c>
      <c r="M10" s="355" t="s">
        <v>17</v>
      </c>
      <c r="N10" s="355" t="s">
        <v>18</v>
      </c>
      <c r="O10" s="345"/>
    </row>
    <row r="11" spans="1:17" s="180" customFormat="1" ht="30.6" customHeight="1" x14ac:dyDescent="0.25">
      <c r="A11" s="389">
        <v>10</v>
      </c>
      <c r="B11" s="390" t="s">
        <v>200</v>
      </c>
      <c r="C11" s="389" t="s">
        <v>201</v>
      </c>
      <c r="D11" s="391">
        <v>4.2</v>
      </c>
      <c r="E11" s="392">
        <v>12</v>
      </c>
      <c r="F11" s="389" t="s">
        <v>30</v>
      </c>
      <c r="G11" s="389"/>
      <c r="H11" s="393"/>
      <c r="I11" s="394" t="s">
        <v>549</v>
      </c>
      <c r="J11" s="395">
        <f>3.14*0.006^2</f>
        <v>1.1304E-4</v>
      </c>
      <c r="K11" s="396">
        <v>0.06</v>
      </c>
      <c r="L11" s="401">
        <v>2710</v>
      </c>
      <c r="M11" s="397">
        <v>1</v>
      </c>
      <c r="N11" s="334">
        <f>IF(J11="",D11*M11,D11*J11*K11*L11*M11)</f>
        <v>7.7197276800000006E-2</v>
      </c>
      <c r="O11" s="402"/>
    </row>
    <row r="12" spans="1:17" x14ac:dyDescent="0.25">
      <c r="A12" s="175"/>
      <c r="B12" s="176"/>
      <c r="C12" s="176"/>
      <c r="D12" s="176"/>
      <c r="E12" s="176"/>
      <c r="F12" s="176"/>
      <c r="G12" s="176"/>
      <c r="H12" s="176"/>
      <c r="I12" s="176"/>
      <c r="J12" s="176"/>
      <c r="K12" s="176"/>
      <c r="L12" s="176"/>
      <c r="M12" s="201" t="s">
        <v>18</v>
      </c>
      <c r="N12" s="202">
        <f>SUM(N11:N11)</f>
        <v>7.7197276800000006E-2</v>
      </c>
      <c r="O12" s="156"/>
    </row>
    <row r="13" spans="1:17" x14ac:dyDescent="0.25">
      <c r="A13" s="160"/>
      <c r="B13" s="154"/>
      <c r="C13" s="154"/>
      <c r="D13" s="154"/>
      <c r="E13" s="154"/>
      <c r="F13" s="154"/>
      <c r="G13" s="154"/>
      <c r="H13" s="154"/>
      <c r="I13" s="154"/>
      <c r="J13" s="154"/>
      <c r="K13" s="154"/>
      <c r="L13" s="154"/>
      <c r="M13" s="154"/>
      <c r="N13" s="154"/>
      <c r="O13" s="156"/>
      <c r="Q13" s="203"/>
    </row>
    <row r="14" spans="1:17" customFormat="1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7" customFormat="1" x14ac:dyDescent="0.25">
      <c r="A15" s="330">
        <v>10</v>
      </c>
      <c r="B15" s="327" t="s">
        <v>199</v>
      </c>
      <c r="C15" s="398"/>
      <c r="D15" s="399">
        <v>0.4</v>
      </c>
      <c r="E15" s="330" t="s">
        <v>40</v>
      </c>
      <c r="F15" s="330">
        <v>1</v>
      </c>
      <c r="G15" s="330"/>
      <c r="H15" s="330"/>
      <c r="I15" s="400">
        <f>IF(H15="",D15*F15,D15*F15*H15)</f>
        <v>0.4</v>
      </c>
      <c r="J15" s="376"/>
      <c r="K15" s="376"/>
      <c r="L15" s="376"/>
      <c r="M15" s="376"/>
      <c r="N15" s="376"/>
      <c r="O15" s="377"/>
    </row>
    <row r="16" spans="1:17" x14ac:dyDescent="0.25">
      <c r="A16" s="175"/>
      <c r="B16" s="176"/>
      <c r="C16" s="176"/>
      <c r="D16" s="176"/>
      <c r="E16" s="176"/>
      <c r="F16" s="176"/>
      <c r="G16" s="176"/>
      <c r="H16" s="208" t="s">
        <v>18</v>
      </c>
      <c r="I16" s="202">
        <f>SUM(I15:I15)</f>
        <v>0.4</v>
      </c>
      <c r="J16" s="176"/>
      <c r="K16" s="176"/>
      <c r="L16" s="176"/>
      <c r="M16" s="176"/>
      <c r="N16" s="176"/>
      <c r="O16" s="156"/>
    </row>
    <row r="17" spans="1:15" ht="15.75" thickBot="1" x14ac:dyDescent="0.3">
      <c r="A17" s="185"/>
      <c r="B17" s="186"/>
      <c r="C17" s="186"/>
      <c r="D17" s="186"/>
      <c r="E17" s="186"/>
      <c r="F17" s="186"/>
      <c r="G17" s="186"/>
      <c r="H17" s="186"/>
      <c r="I17" s="186"/>
      <c r="J17" s="186"/>
      <c r="K17" s="186"/>
      <c r="L17" s="186"/>
      <c r="M17" s="186"/>
      <c r="N17" s="186"/>
      <c r="O17" s="187"/>
    </row>
  </sheetData>
  <hyperlinks>
    <hyperlink ref="E3" location="dSU_03007" display="Drawing" xr:uid="{00000000-0004-0000-3600-000000000000}"/>
    <hyperlink ref="G2" location="SU_A0300_BOM" display="Back to BOM" xr:uid="{00000000-0004-0000-3600-000001000000}"/>
    <hyperlink ref="B4" location="SU_A0300" display="Upper Back A-arm" xr:uid="{00000000-0004-0000-36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9" fitToHeight="99" orientation="landscape" r:id="rId1"/>
  <headerFooter>
    <oddFooter>Page &amp;P</oddFooter>
  </headerFooter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20" style="151" customWidth="1"/>
    <col min="2" max="16384" width="11.42578125" style="151"/>
  </cols>
  <sheetData>
    <row r="1" spans="1:2" x14ac:dyDescent="0.25">
      <c r="A1" s="151" t="s">
        <v>99</v>
      </c>
      <c r="B1" s="214" t="str">
        <f>'SU 03007'!B6</f>
        <v>SU 03007</v>
      </c>
    </row>
  </sheetData>
  <hyperlinks>
    <hyperlink ref="B1" location="SU_03007" display="SU_03007" xr:uid="{00000000-0004-0000-37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90" fitToHeight="99" orientation="landscape" r:id="rId1"/>
  <headerFooter>
    <oddFooter>Page &amp;P</oddFooter>
  </headerFooter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19.5703125" customWidth="1"/>
    <col min="3" max="3" width="20" customWidth="1"/>
    <col min="6" max="6" width="10.7109375" customWidth="1"/>
  </cols>
  <sheetData>
    <row r="1" spans="1:15" x14ac:dyDescent="0.25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25">
      <c r="A2" s="419" t="s">
        <v>0</v>
      </c>
      <c r="B2" s="16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1.4969516249999999</v>
      </c>
      <c r="O2" s="422"/>
    </row>
    <row r="3" spans="1:15" x14ac:dyDescent="0.25">
      <c r="A3" s="419" t="s">
        <v>3</v>
      </c>
      <c r="B3" s="16" t="str">
        <f>'SU A0200'!B3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25">
      <c r="A4" s="419" t="s">
        <v>5</v>
      </c>
      <c r="B4" s="87" t="s">
        <v>126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25">
      <c r="A5" s="419" t="s">
        <v>15</v>
      </c>
      <c r="B5" s="424" t="s">
        <v>215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1.4969516249999999</v>
      </c>
      <c r="O5" s="422"/>
    </row>
    <row r="6" spans="1:15" x14ac:dyDescent="0.25">
      <c r="A6" s="419" t="s">
        <v>7</v>
      </c>
      <c r="B6" s="425" t="s">
        <v>255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25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25">
      <c r="A8" s="419" t="s">
        <v>13</v>
      </c>
      <c r="B8" s="403" t="s">
        <v>203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25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25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45" x14ac:dyDescent="0.25">
      <c r="A11" s="426">
        <v>10</v>
      </c>
      <c r="B11" s="427" t="s">
        <v>204</v>
      </c>
      <c r="C11" s="428" t="s">
        <v>205</v>
      </c>
      <c r="D11" s="429">
        <v>2.25</v>
      </c>
      <c r="E11" s="430">
        <f>J11*K11*L11</f>
        <v>7.1670500000000012E-2</v>
      </c>
      <c r="F11" s="431" t="s">
        <v>141</v>
      </c>
      <c r="G11" s="431"/>
      <c r="H11" s="432"/>
      <c r="I11" s="433" t="s">
        <v>250</v>
      </c>
      <c r="J11" s="434">
        <f>0.083*0.022</f>
        <v>1.8259999999999999E-3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0.16125862500000002</v>
      </c>
      <c r="O11" s="422"/>
    </row>
    <row r="12" spans="1:15" x14ac:dyDescent="0.25">
      <c r="A12" s="426">
        <v>20</v>
      </c>
      <c r="B12" s="427" t="s">
        <v>207</v>
      </c>
      <c r="C12" s="428"/>
      <c r="D12" s="411">
        <v>10</v>
      </c>
      <c r="E12" s="412">
        <f>2*J11</f>
        <v>3.6519999999999999E-3</v>
      </c>
      <c r="F12" s="437" t="s">
        <v>202</v>
      </c>
      <c r="G12" s="431"/>
      <c r="H12" s="432"/>
      <c r="I12" s="433"/>
      <c r="J12" s="434"/>
      <c r="K12" s="432"/>
      <c r="L12" s="435"/>
      <c r="M12" s="435"/>
      <c r="N12" s="436">
        <f>E12*D12</f>
        <v>3.6519999999999997E-2</v>
      </c>
      <c r="O12" s="422"/>
    </row>
    <row r="13" spans="1:15" x14ac:dyDescent="0.25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0.19777862500000001</v>
      </c>
      <c r="O13" s="422"/>
    </row>
    <row r="14" spans="1:15" x14ac:dyDescent="0.25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25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30" customHeight="1" x14ac:dyDescent="0.25">
      <c r="A16" s="438">
        <v>10</v>
      </c>
      <c r="B16" s="439" t="s">
        <v>39</v>
      </c>
      <c r="C16" s="440" t="s">
        <v>208</v>
      </c>
      <c r="D16" s="441">
        <v>1.3</v>
      </c>
      <c r="E16" s="439" t="s">
        <v>32</v>
      </c>
      <c r="F16" s="299">
        <v>1</v>
      </c>
      <c r="G16" s="440" t="s">
        <v>220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25">
      <c r="A17" s="444">
        <v>20</v>
      </c>
      <c r="B17" s="445" t="s">
        <v>209</v>
      </c>
      <c r="C17" s="296"/>
      <c r="D17" s="441">
        <v>0.01</v>
      </c>
      <c r="E17" s="445" t="s">
        <v>40</v>
      </c>
      <c r="F17" s="446">
        <v>18.5</v>
      </c>
      <c r="G17" s="439"/>
      <c r="H17" s="442"/>
      <c r="I17" s="443">
        <f>IF(H17="",D17*F17,D17*F17*H17)</f>
        <v>0.185</v>
      </c>
      <c r="J17" s="299"/>
      <c r="K17" s="403"/>
      <c r="L17" s="403"/>
      <c r="M17" s="403"/>
      <c r="N17" s="403"/>
      <c r="O17" s="422"/>
    </row>
    <row r="18" spans="1:15" ht="31.15" customHeight="1" x14ac:dyDescent="0.25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220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25">
      <c r="A19" s="444">
        <v>40</v>
      </c>
      <c r="B19" s="448" t="s">
        <v>92</v>
      </c>
      <c r="C19" s="448" t="s">
        <v>219</v>
      </c>
      <c r="D19" s="449">
        <v>0.04</v>
      </c>
      <c r="E19" s="448" t="s">
        <v>93</v>
      </c>
      <c r="F19" s="448">
        <v>1</v>
      </c>
      <c r="G19" s="448" t="s">
        <v>197</v>
      </c>
      <c r="H19" s="448">
        <v>3</v>
      </c>
      <c r="I19" s="450">
        <f t="shared" si="0"/>
        <v>0.12</v>
      </c>
      <c r="J19" s="302"/>
      <c r="K19" s="414"/>
      <c r="L19" s="414"/>
      <c r="M19" s="414"/>
      <c r="N19" s="414"/>
      <c r="O19" s="422"/>
    </row>
    <row r="20" spans="1:15" x14ac:dyDescent="0.25">
      <c r="A20" s="438">
        <v>50</v>
      </c>
      <c r="B20" s="439" t="s">
        <v>162</v>
      </c>
      <c r="C20" s="296" t="s">
        <v>210</v>
      </c>
      <c r="D20" s="303">
        <v>5.25</v>
      </c>
      <c r="E20" s="439" t="s">
        <v>202</v>
      </c>
      <c r="F20" s="451">
        <f>2*J11</f>
        <v>3.6519999999999999E-3</v>
      </c>
      <c r="G20" s="439"/>
      <c r="H20" s="442"/>
      <c r="I20" s="450">
        <f>F20*D20</f>
        <v>1.9172999999999999E-2</v>
      </c>
      <c r="J20" s="452"/>
      <c r="K20" s="453"/>
      <c r="L20" s="453"/>
      <c r="M20" s="453"/>
      <c r="N20" s="453"/>
      <c r="O20" s="422"/>
    </row>
    <row r="21" spans="1:15" x14ac:dyDescent="0.25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1.2991729999999999</v>
      </c>
      <c r="J21" s="453"/>
      <c r="K21" s="453"/>
      <c r="L21" s="453"/>
      <c r="M21" s="453"/>
      <c r="N21" s="453"/>
      <c r="O21" s="422"/>
    </row>
    <row r="22" spans="1:15" ht="15.75" thickBot="1" x14ac:dyDescent="0.3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F2" location="SU_A0300_BOM" display="Back to BOM" xr:uid="{00000000-0004-0000-3800-000000000000}"/>
    <hyperlink ref="E3" location="dSU_03008" display="Drawing" xr:uid="{00000000-0004-0000-3800-000001000000}"/>
    <hyperlink ref="B4" location="SU_A0300" display="Upper Back A-arm" xr:uid="{00000000-0004-0000-38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5" fitToHeight="99" orientation="landscape" r:id="rId1"/>
  <headerFooter>
    <oddFooter>Page &amp;P</oddFooter>
  </headerFooter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5" t="s">
        <v>239</v>
      </c>
    </row>
  </sheetData>
  <hyperlinks>
    <hyperlink ref="B1" location="SU_03008" display="SU_03008" xr:uid="{00000000-0004-0000-39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16.7109375" customWidth="1"/>
    <col min="3" max="3" width="17.28515625" customWidth="1"/>
  </cols>
  <sheetData>
    <row r="1" spans="1:15" x14ac:dyDescent="0.25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25">
      <c r="A2" s="419" t="s">
        <v>0</v>
      </c>
      <c r="B2" s="16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1.49211</v>
      </c>
      <c r="O2" s="422"/>
    </row>
    <row r="3" spans="1:15" x14ac:dyDescent="0.25">
      <c r="A3" s="419" t="s">
        <v>3</v>
      </c>
      <c r="B3" s="16" t="str">
        <f>'SU A0200'!B3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25">
      <c r="A4" s="419" t="s">
        <v>5</v>
      </c>
      <c r="B4" s="87" t="s">
        <v>126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25">
      <c r="A5" s="419" t="s">
        <v>15</v>
      </c>
      <c r="B5" s="424" t="s">
        <v>216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1.49211</v>
      </c>
      <c r="O5" s="422"/>
    </row>
    <row r="6" spans="1:15" x14ac:dyDescent="0.25">
      <c r="A6" s="419" t="s">
        <v>7</v>
      </c>
      <c r="B6" s="425" t="s">
        <v>256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25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25">
      <c r="A8" s="419" t="s">
        <v>13</v>
      </c>
      <c r="B8" s="403" t="s">
        <v>203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25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25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45" x14ac:dyDescent="0.25">
      <c r="A11" s="426">
        <v>10</v>
      </c>
      <c r="B11" s="427" t="s">
        <v>204</v>
      </c>
      <c r="C11" s="428" t="s">
        <v>205</v>
      </c>
      <c r="D11" s="429">
        <v>2.25</v>
      </c>
      <c r="E11" s="430">
        <f>J11*K11*L11</f>
        <v>6.9079999999999989E-2</v>
      </c>
      <c r="F11" s="431" t="s">
        <v>141</v>
      </c>
      <c r="G11" s="431"/>
      <c r="H11" s="432"/>
      <c r="I11" s="433" t="s">
        <v>251</v>
      </c>
      <c r="J11" s="434">
        <f>0.08*0.022</f>
        <v>1.7599999999999998E-3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0.15543000000000001</v>
      </c>
      <c r="O11" s="422"/>
    </row>
    <row r="12" spans="1:15" x14ac:dyDescent="0.25">
      <c r="A12" s="426">
        <v>20</v>
      </c>
      <c r="B12" s="427" t="s">
        <v>207</v>
      </c>
      <c r="C12" s="428"/>
      <c r="D12" s="411">
        <v>10</v>
      </c>
      <c r="E12" s="412">
        <f>2*J11</f>
        <v>3.5199999999999997E-3</v>
      </c>
      <c r="F12" s="437" t="s">
        <v>202</v>
      </c>
      <c r="G12" s="431"/>
      <c r="H12" s="432"/>
      <c r="I12" s="433"/>
      <c r="J12" s="434"/>
      <c r="K12" s="432"/>
      <c r="L12" s="435"/>
      <c r="M12" s="435"/>
      <c r="N12" s="436">
        <f>E12*D12</f>
        <v>3.5199999999999995E-2</v>
      </c>
      <c r="O12" s="422"/>
    </row>
    <row r="13" spans="1:15" x14ac:dyDescent="0.25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0.19063000000000002</v>
      </c>
      <c r="O13" s="422"/>
    </row>
    <row r="14" spans="1:15" x14ac:dyDescent="0.25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25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32.450000000000003" customHeight="1" x14ac:dyDescent="0.25">
      <c r="A16" s="438">
        <v>10</v>
      </c>
      <c r="B16" s="439" t="s">
        <v>39</v>
      </c>
      <c r="C16" s="440" t="s">
        <v>208</v>
      </c>
      <c r="D16" s="441">
        <v>1.3</v>
      </c>
      <c r="E16" s="439" t="s">
        <v>32</v>
      </c>
      <c r="F16" s="299">
        <v>1</v>
      </c>
      <c r="G16" s="440" t="s">
        <v>220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25">
      <c r="A17" s="444">
        <v>20</v>
      </c>
      <c r="B17" s="445" t="s">
        <v>209</v>
      </c>
      <c r="C17" s="296"/>
      <c r="D17" s="441">
        <v>0.01</v>
      </c>
      <c r="E17" s="445" t="s">
        <v>40</v>
      </c>
      <c r="F17" s="446">
        <v>18.8</v>
      </c>
      <c r="G17" s="439"/>
      <c r="H17" s="442"/>
      <c r="I17" s="443">
        <f>IF(H17="",D17*F17,D17*F17*H17)</f>
        <v>0.188</v>
      </c>
      <c r="J17" s="299"/>
      <c r="K17" s="403"/>
      <c r="L17" s="403"/>
      <c r="M17" s="403"/>
      <c r="N17" s="403"/>
      <c r="O17" s="422"/>
    </row>
    <row r="18" spans="1:15" ht="60" x14ac:dyDescent="0.25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220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25">
      <c r="A19" s="444">
        <v>40</v>
      </c>
      <c r="B19" s="448" t="s">
        <v>92</v>
      </c>
      <c r="C19" s="448" t="s">
        <v>219</v>
      </c>
      <c r="D19" s="449">
        <v>0.04</v>
      </c>
      <c r="E19" s="448" t="s">
        <v>93</v>
      </c>
      <c r="F19" s="448">
        <v>1</v>
      </c>
      <c r="G19" s="448" t="s">
        <v>197</v>
      </c>
      <c r="H19" s="448">
        <v>3</v>
      </c>
      <c r="I19" s="450">
        <f t="shared" si="0"/>
        <v>0.12</v>
      </c>
      <c r="J19" s="302"/>
      <c r="K19" s="414"/>
      <c r="L19" s="414"/>
      <c r="M19" s="414"/>
      <c r="N19" s="414"/>
      <c r="O19" s="422"/>
    </row>
    <row r="20" spans="1:15" x14ac:dyDescent="0.25">
      <c r="A20" s="438">
        <v>50</v>
      </c>
      <c r="B20" s="439" t="s">
        <v>162</v>
      </c>
      <c r="C20" s="296" t="s">
        <v>210</v>
      </c>
      <c r="D20" s="303">
        <v>5.25</v>
      </c>
      <c r="E20" s="439" t="s">
        <v>202</v>
      </c>
      <c r="F20" s="451">
        <f>2*J11</f>
        <v>3.5199999999999997E-3</v>
      </c>
      <c r="G20" s="439"/>
      <c r="H20" s="442"/>
      <c r="I20" s="450">
        <f>F20*D20</f>
        <v>1.848E-2</v>
      </c>
      <c r="J20" s="452"/>
      <c r="K20" s="453"/>
      <c r="L20" s="453"/>
      <c r="M20" s="453"/>
      <c r="N20" s="453"/>
      <c r="O20" s="422"/>
    </row>
    <row r="21" spans="1:15" x14ac:dyDescent="0.25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1.30148</v>
      </c>
      <c r="J21" s="453"/>
      <c r="K21" s="453"/>
      <c r="L21" s="453"/>
      <c r="M21" s="453"/>
      <c r="N21" s="453"/>
      <c r="O21" s="422"/>
    </row>
    <row r="22" spans="1:15" ht="15.75" thickBot="1" x14ac:dyDescent="0.3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F2" location="SU_A0300_BOM" display="Back to BOM" xr:uid="{00000000-0004-0000-3A00-000000000000}"/>
    <hyperlink ref="E3" location="dSU_03009" display="Drawing" xr:uid="{00000000-0004-0000-3A00-000001000000}"/>
    <hyperlink ref="B4" location="SU_A0300" display="Upper Back A-arm" xr:uid="{00000000-0004-0000-3A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7" fitToHeight="99" orientation="landscape" r:id="rId1"/>
  <headerFooter>
    <oddFooter>Page &amp;P</oddFoot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FF66"/>
    <pageSetUpPr fitToPage="1"/>
  </sheetPr>
  <dimension ref="A1:B6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8.85546875" customWidth="1"/>
  </cols>
  <sheetData>
    <row r="1" spans="1:2" x14ac:dyDescent="0.25">
      <c r="A1" t="s">
        <v>99</v>
      </c>
      <c r="B1" s="88" t="s">
        <v>100</v>
      </c>
    </row>
    <row r="6" spans="1:2" x14ac:dyDescent="0.25">
      <c r="B6" s="134"/>
    </row>
  </sheetData>
  <hyperlinks>
    <hyperlink ref="B1" location="SU_01002" display="SU_01002" xr:uid="{00000000-0004-0000-05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5" t="s">
        <v>240</v>
      </c>
    </row>
  </sheetData>
  <hyperlinks>
    <hyperlink ref="B1" location="SU_03009" display="SU_03009" xr:uid="{00000000-0004-0000-3B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17.7109375" customWidth="1"/>
    <col min="3" max="3" width="14.5703125" customWidth="1"/>
    <col min="9" max="9" width="13" customWidth="1"/>
  </cols>
  <sheetData>
    <row r="1" spans="1:15" x14ac:dyDescent="0.25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25">
      <c r="A2" s="419" t="s">
        <v>0</v>
      </c>
      <c r="B2" s="16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1.2680301249999999</v>
      </c>
      <c r="O2" s="422"/>
    </row>
    <row r="3" spans="1:15" x14ac:dyDescent="0.25">
      <c r="A3" s="419" t="s">
        <v>3</v>
      </c>
      <c r="B3" s="16" t="str">
        <f>'SU A0200'!B3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25">
      <c r="A4" s="419" t="s">
        <v>5</v>
      </c>
      <c r="B4" s="87" t="s">
        <v>126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25">
      <c r="A5" s="419" t="s">
        <v>15</v>
      </c>
      <c r="B5" s="424" t="s">
        <v>217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1.2680301249999999</v>
      </c>
      <c r="O5" s="422"/>
    </row>
    <row r="6" spans="1:15" x14ac:dyDescent="0.25">
      <c r="A6" s="419" t="s">
        <v>7</v>
      </c>
      <c r="B6" s="425" t="s">
        <v>257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25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25">
      <c r="A8" s="419" t="s">
        <v>13</v>
      </c>
      <c r="B8" s="403" t="s">
        <v>203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25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25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28.15" customHeight="1" x14ac:dyDescent="0.25">
      <c r="A11" s="426">
        <v>10</v>
      </c>
      <c r="B11" s="427" t="s">
        <v>204</v>
      </c>
      <c r="C11" s="626" t="s">
        <v>205</v>
      </c>
      <c r="D11" s="429">
        <v>2.25</v>
      </c>
      <c r="E11" s="430">
        <f>J11*K11*L11</f>
        <v>2.6768500000000001E-2</v>
      </c>
      <c r="F11" s="431" t="s">
        <v>141</v>
      </c>
      <c r="G11" s="431"/>
      <c r="H11" s="432"/>
      <c r="I11" s="433" t="s">
        <v>252</v>
      </c>
      <c r="J11" s="434">
        <f>0.031*0.022</f>
        <v>6.8199999999999999E-4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6.0229125000000001E-2</v>
      </c>
      <c r="O11" s="422"/>
    </row>
    <row r="12" spans="1:15" x14ac:dyDescent="0.25">
      <c r="A12" s="426">
        <v>20</v>
      </c>
      <c r="B12" s="427" t="s">
        <v>207</v>
      </c>
      <c r="C12" s="428"/>
      <c r="D12" s="411">
        <v>10</v>
      </c>
      <c r="E12" s="412">
        <f>2*J11</f>
        <v>1.364E-3</v>
      </c>
      <c r="F12" s="437" t="s">
        <v>202</v>
      </c>
      <c r="G12" s="431"/>
      <c r="H12" s="432"/>
      <c r="I12" s="433"/>
      <c r="J12" s="434"/>
      <c r="K12" s="432"/>
      <c r="L12" s="435"/>
      <c r="M12" s="435"/>
      <c r="N12" s="436">
        <f>E12*D12</f>
        <v>1.3639999999999999E-2</v>
      </c>
      <c r="O12" s="422"/>
    </row>
    <row r="13" spans="1:15" x14ac:dyDescent="0.25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7.3869125000000008E-2</v>
      </c>
      <c r="O13" s="422"/>
    </row>
    <row r="14" spans="1:15" x14ac:dyDescent="0.25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25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33" customHeight="1" x14ac:dyDescent="0.25">
      <c r="A16" s="438">
        <v>10</v>
      </c>
      <c r="B16" s="439" t="s">
        <v>39</v>
      </c>
      <c r="C16" s="440" t="s">
        <v>238</v>
      </c>
      <c r="D16" s="441">
        <v>1.3</v>
      </c>
      <c r="E16" s="439" t="s">
        <v>32</v>
      </c>
      <c r="F16" s="299">
        <v>1</v>
      </c>
      <c r="G16" s="440" t="s">
        <v>220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25">
      <c r="A17" s="444">
        <v>20</v>
      </c>
      <c r="B17" s="445" t="s">
        <v>209</v>
      </c>
      <c r="C17" s="296"/>
      <c r="D17" s="441">
        <v>0.01</v>
      </c>
      <c r="E17" s="445" t="s">
        <v>40</v>
      </c>
      <c r="F17" s="446">
        <v>9.1999999999999993</v>
      </c>
      <c r="G17" s="439"/>
      <c r="H17" s="442"/>
      <c r="I17" s="443">
        <f>IF(H17="",D17*F17,D17*F17*H17)</f>
        <v>9.1999999999999998E-2</v>
      </c>
      <c r="J17" s="299"/>
      <c r="K17" s="403"/>
      <c r="L17" s="403"/>
      <c r="M17" s="403"/>
      <c r="N17" s="403"/>
      <c r="O17" s="422"/>
    </row>
    <row r="18" spans="1:15" ht="60" x14ac:dyDescent="0.25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220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25">
      <c r="A19" s="444">
        <v>40</v>
      </c>
      <c r="B19" s="448" t="s">
        <v>92</v>
      </c>
      <c r="C19" s="448" t="s">
        <v>219</v>
      </c>
      <c r="D19" s="449">
        <v>0.04</v>
      </c>
      <c r="E19" s="448" t="s">
        <v>93</v>
      </c>
      <c r="F19" s="448">
        <v>1</v>
      </c>
      <c r="G19" s="448" t="s">
        <v>197</v>
      </c>
      <c r="H19" s="448">
        <v>3</v>
      </c>
      <c r="I19" s="450">
        <f t="shared" si="0"/>
        <v>0.12</v>
      </c>
      <c r="J19" s="302"/>
      <c r="K19" s="414"/>
      <c r="L19" s="414"/>
      <c r="M19" s="414"/>
      <c r="N19" s="414"/>
      <c r="O19" s="422"/>
    </row>
    <row r="20" spans="1:15" x14ac:dyDescent="0.25">
      <c r="A20" s="438">
        <v>50</v>
      </c>
      <c r="B20" s="439" t="s">
        <v>162</v>
      </c>
      <c r="C20" s="296" t="s">
        <v>210</v>
      </c>
      <c r="D20" s="303">
        <v>5.25</v>
      </c>
      <c r="E20" s="439" t="s">
        <v>202</v>
      </c>
      <c r="F20" s="451">
        <f>2*J11</f>
        <v>1.364E-3</v>
      </c>
      <c r="G20" s="439"/>
      <c r="H20" s="442"/>
      <c r="I20" s="450">
        <f>F20*D20</f>
        <v>7.1609999999999998E-3</v>
      </c>
      <c r="J20" s="452"/>
      <c r="K20" s="453"/>
      <c r="L20" s="453"/>
      <c r="M20" s="453"/>
      <c r="N20" s="453"/>
      <c r="O20" s="422"/>
    </row>
    <row r="21" spans="1:15" x14ac:dyDescent="0.25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1.1941609999999998</v>
      </c>
      <c r="J21" s="453"/>
      <c r="K21" s="453"/>
      <c r="L21" s="453"/>
      <c r="M21" s="453"/>
      <c r="N21" s="453"/>
      <c r="O21" s="422"/>
    </row>
    <row r="22" spans="1:15" ht="15.75" thickBot="1" x14ac:dyDescent="0.3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F2" location="SU_A0300_BOM" display="Back to BOM" xr:uid="{00000000-0004-0000-3C00-000000000000}"/>
    <hyperlink ref="E3" location="dSU_03010" display="Drawing" xr:uid="{00000000-0004-0000-3C00-000001000000}"/>
    <hyperlink ref="B4" location="SU_A0300" display="Upper Back A-arm" xr:uid="{00000000-0004-0000-3C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7" fitToHeight="99" orientation="landscape" r:id="rId1"/>
  <headerFooter>
    <oddFooter>Page &amp;P</oddFooter>
  </headerFooter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5" t="s">
        <v>241</v>
      </c>
    </row>
  </sheetData>
  <hyperlinks>
    <hyperlink ref="B1" location="SU_03010" display="SU_03010" xr:uid="{00000000-0004-0000-3D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17.7109375" customWidth="1"/>
    <col min="3" max="3" width="17.28515625" customWidth="1"/>
    <col min="7" max="7" width="16.140625" customWidth="1"/>
  </cols>
  <sheetData>
    <row r="1" spans="1:15" x14ac:dyDescent="0.25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25">
      <c r="A2" s="419" t="s">
        <v>0</v>
      </c>
      <c r="B2" s="16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1.3787631249999999</v>
      </c>
      <c r="O2" s="422"/>
    </row>
    <row r="3" spans="1:15" x14ac:dyDescent="0.25">
      <c r="A3" s="419" t="s">
        <v>3</v>
      </c>
      <c r="B3" s="16" t="str">
        <f>'SU A0200'!B3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25">
      <c r="A4" s="419" t="s">
        <v>5</v>
      </c>
      <c r="B4" s="87" t="s">
        <v>126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25">
      <c r="A5" s="419" t="s">
        <v>15</v>
      </c>
      <c r="B5" s="424" t="s">
        <v>218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1.3787631249999999</v>
      </c>
      <c r="O5" s="422"/>
    </row>
    <row r="6" spans="1:15" x14ac:dyDescent="0.25">
      <c r="A6" s="419" t="s">
        <v>7</v>
      </c>
      <c r="B6" s="425" t="s">
        <v>254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25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25">
      <c r="A8" s="419" t="s">
        <v>13</v>
      </c>
      <c r="B8" s="403" t="s">
        <v>203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25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25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45" x14ac:dyDescent="0.25">
      <c r="A11" s="426">
        <v>10</v>
      </c>
      <c r="B11" s="427" t="s">
        <v>204</v>
      </c>
      <c r="C11" s="428" t="s">
        <v>205</v>
      </c>
      <c r="D11" s="429">
        <v>2.25</v>
      </c>
      <c r="E11" s="430">
        <f>J11*K11*L11</f>
        <v>4.74925E-2</v>
      </c>
      <c r="F11" s="431" t="s">
        <v>141</v>
      </c>
      <c r="G11" s="431"/>
      <c r="H11" s="432"/>
      <c r="I11" s="433" t="s">
        <v>253</v>
      </c>
      <c r="J11" s="434">
        <f>0.055*0.022</f>
        <v>1.2099999999999999E-3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0.10685812499999998</v>
      </c>
      <c r="O11" s="422"/>
    </row>
    <row r="12" spans="1:15" x14ac:dyDescent="0.25">
      <c r="A12" s="426">
        <v>20</v>
      </c>
      <c r="B12" s="427" t="s">
        <v>207</v>
      </c>
      <c r="C12" s="428"/>
      <c r="D12" s="411">
        <v>10</v>
      </c>
      <c r="E12" s="412">
        <f>2*J11</f>
        <v>2.4199999999999998E-3</v>
      </c>
      <c r="F12" s="437" t="s">
        <v>202</v>
      </c>
      <c r="G12" s="431"/>
      <c r="H12" s="432"/>
      <c r="I12" s="433"/>
      <c r="J12" s="434"/>
      <c r="K12" s="432"/>
      <c r="L12" s="435"/>
      <c r="M12" s="435"/>
      <c r="N12" s="436">
        <f>E12*D12</f>
        <v>2.4199999999999999E-2</v>
      </c>
      <c r="O12" s="422"/>
    </row>
    <row r="13" spans="1:15" x14ac:dyDescent="0.25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0.13105812499999997</v>
      </c>
      <c r="O13" s="422"/>
    </row>
    <row r="14" spans="1:15" x14ac:dyDescent="0.25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25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28.15" customHeight="1" x14ac:dyDescent="0.25">
      <c r="A16" s="438">
        <v>10</v>
      </c>
      <c r="B16" s="439" t="s">
        <v>39</v>
      </c>
      <c r="C16" s="440" t="s">
        <v>208</v>
      </c>
      <c r="D16" s="441">
        <v>1.3</v>
      </c>
      <c r="E16" s="439" t="s">
        <v>32</v>
      </c>
      <c r="F16" s="299">
        <v>1</v>
      </c>
      <c r="G16" s="440" t="s">
        <v>220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25">
      <c r="A17" s="444">
        <v>20</v>
      </c>
      <c r="B17" s="445" t="s">
        <v>209</v>
      </c>
      <c r="C17" s="296"/>
      <c r="D17" s="441">
        <v>0.01</v>
      </c>
      <c r="E17" s="445" t="s">
        <v>40</v>
      </c>
      <c r="F17" s="446">
        <v>14</v>
      </c>
      <c r="G17" s="439"/>
      <c r="H17" s="442"/>
      <c r="I17" s="443">
        <f>IF(H17="",D17*F17,D17*F17*H17)</f>
        <v>0.14000000000000001</v>
      </c>
      <c r="J17" s="299"/>
      <c r="K17" s="403"/>
      <c r="L17" s="403"/>
      <c r="M17" s="403"/>
      <c r="N17" s="403"/>
      <c r="O17" s="422"/>
    </row>
    <row r="18" spans="1:15" ht="28.9" customHeight="1" x14ac:dyDescent="0.25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220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25">
      <c r="A19" s="444">
        <v>40</v>
      </c>
      <c r="B19" s="448" t="s">
        <v>92</v>
      </c>
      <c r="C19" s="448" t="s">
        <v>219</v>
      </c>
      <c r="D19" s="449">
        <v>0.04</v>
      </c>
      <c r="E19" s="448" t="s">
        <v>93</v>
      </c>
      <c r="F19" s="448">
        <v>1</v>
      </c>
      <c r="G19" s="448" t="s">
        <v>197</v>
      </c>
      <c r="H19" s="448">
        <v>3</v>
      </c>
      <c r="I19" s="450">
        <f t="shared" si="0"/>
        <v>0.12</v>
      </c>
      <c r="J19" s="302"/>
      <c r="K19" s="414"/>
      <c r="L19" s="414"/>
      <c r="M19" s="414"/>
      <c r="N19" s="414"/>
      <c r="O19" s="422"/>
    </row>
    <row r="20" spans="1:15" ht="13.15" customHeight="1" x14ac:dyDescent="0.25">
      <c r="A20" s="438">
        <v>50</v>
      </c>
      <c r="B20" s="439" t="s">
        <v>162</v>
      </c>
      <c r="C20" s="296" t="s">
        <v>210</v>
      </c>
      <c r="D20" s="303">
        <v>5.25</v>
      </c>
      <c r="E20" s="439" t="s">
        <v>202</v>
      </c>
      <c r="F20" s="451">
        <f>2*J11</f>
        <v>2.4199999999999998E-3</v>
      </c>
      <c r="G20" s="439"/>
      <c r="H20" s="442"/>
      <c r="I20" s="450">
        <f>F20*D20</f>
        <v>1.2704999999999999E-2</v>
      </c>
      <c r="J20" s="452"/>
      <c r="K20" s="453"/>
      <c r="L20" s="453"/>
      <c r="M20" s="453"/>
      <c r="N20" s="453"/>
      <c r="O20" s="422"/>
    </row>
    <row r="21" spans="1:15" x14ac:dyDescent="0.25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1.2477049999999998</v>
      </c>
      <c r="J21" s="453"/>
      <c r="K21" s="453"/>
      <c r="L21" s="453"/>
      <c r="M21" s="453"/>
      <c r="N21" s="453"/>
      <c r="O21" s="422"/>
    </row>
    <row r="22" spans="1:15" ht="15.75" thickBot="1" x14ac:dyDescent="0.3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F2" location="SU_A0300_BOM" display="Back to BOM" xr:uid="{00000000-0004-0000-3E00-000000000000}"/>
    <hyperlink ref="E3" location="dSU_03011" display="Drawing" xr:uid="{00000000-0004-0000-3E00-000001000000}"/>
    <hyperlink ref="B4" location="SU_A0300" display="Upper Back A-arm" xr:uid="{00000000-0004-0000-3E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5" fitToHeight="99" orientation="landscape" r:id="rId1"/>
  <headerFooter>
    <oddFooter>Page &amp;P</oddFooter>
  </headerFooter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5" t="s">
        <v>242</v>
      </c>
    </row>
  </sheetData>
  <hyperlinks>
    <hyperlink ref="B1" location="SU_03011" display="SU_03011" xr:uid="{00000000-0004-0000-3F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sheetPr>
    <tabColor rgb="FFFFFF00"/>
    <pageSetUpPr fitToPage="1"/>
  </sheetPr>
  <dimension ref="A1:O64"/>
  <sheetViews>
    <sheetView zoomScale="70" zoomScaleNormal="70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1" max="1" width="9.140625" style="151"/>
    <col min="2" max="2" width="57.140625" style="151" customWidth="1"/>
    <col min="3" max="3" width="55.7109375" style="151" customWidth="1"/>
    <col min="4" max="4" width="10.7109375" style="151" customWidth="1"/>
    <col min="5" max="13" width="9.140625" style="151"/>
    <col min="14" max="14" width="11.5703125" style="151" customWidth="1"/>
    <col min="15" max="15" width="5.28515625" style="151" customWidth="1"/>
    <col min="16" max="16384" width="9.140625" style="151"/>
  </cols>
  <sheetData>
    <row r="1" spans="1:15" x14ac:dyDescent="0.25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5" x14ac:dyDescent="0.25">
      <c r="A2" s="152" t="s">
        <v>0</v>
      </c>
      <c r="B2" s="153" t="s">
        <v>37</v>
      </c>
      <c r="C2" s="154"/>
      <c r="D2" s="154"/>
      <c r="E2" s="87" t="s">
        <v>62</v>
      </c>
      <c r="F2" s="154"/>
      <c r="G2" s="154"/>
      <c r="H2" s="154"/>
      <c r="I2" s="154"/>
      <c r="J2" s="152" t="s">
        <v>1</v>
      </c>
      <c r="K2" s="155">
        <v>81</v>
      </c>
      <c r="L2" s="154"/>
      <c r="M2" s="152" t="s">
        <v>2</v>
      </c>
      <c r="N2" s="92">
        <f>SU_A0400_pa+SU_A0400_m+SU_A0400_p+SU_A0400_f</f>
        <v>83.303985548954586</v>
      </c>
      <c r="O2" s="156"/>
    </row>
    <row r="3" spans="1:15" x14ac:dyDescent="0.25">
      <c r="A3" s="152" t="s">
        <v>3</v>
      </c>
      <c r="B3" s="153" t="s">
        <v>63</v>
      </c>
      <c r="C3" s="154"/>
      <c r="D3" s="154"/>
      <c r="E3" s="154"/>
      <c r="F3" s="154"/>
      <c r="G3" s="154"/>
      <c r="H3" s="154"/>
      <c r="I3" s="154"/>
      <c r="J3" s="154"/>
      <c r="K3" s="154"/>
      <c r="L3" s="154"/>
      <c r="M3" s="152" t="s">
        <v>4</v>
      </c>
      <c r="N3" s="82">
        <v>2</v>
      </c>
      <c r="O3" s="156"/>
    </row>
    <row r="4" spans="1:15" x14ac:dyDescent="0.25">
      <c r="A4" s="152" t="s">
        <v>5</v>
      </c>
      <c r="B4" s="157" t="s">
        <v>142</v>
      </c>
      <c r="C4" s="154"/>
      <c r="D4" s="154"/>
      <c r="E4" s="154"/>
      <c r="F4" s="154"/>
      <c r="G4" s="154"/>
      <c r="H4" s="154"/>
      <c r="I4" s="154"/>
      <c r="J4" s="158" t="s">
        <v>6</v>
      </c>
      <c r="K4" s="154"/>
      <c r="L4" s="154"/>
      <c r="M4" s="154"/>
      <c r="N4" s="154"/>
      <c r="O4" s="156"/>
    </row>
    <row r="5" spans="1:15" x14ac:dyDescent="0.25">
      <c r="A5" s="152" t="s">
        <v>7</v>
      </c>
      <c r="B5" s="159" t="s">
        <v>143</v>
      </c>
      <c r="C5" s="154"/>
      <c r="D5" s="154"/>
      <c r="E5" s="154"/>
      <c r="F5" s="154"/>
      <c r="G5" s="154"/>
      <c r="H5" s="154"/>
      <c r="I5" s="154"/>
      <c r="J5" s="158" t="s">
        <v>8</v>
      </c>
      <c r="K5" s="154"/>
      <c r="L5" s="154"/>
      <c r="M5" s="152" t="s">
        <v>9</v>
      </c>
      <c r="N5" s="74">
        <f>N2*N3</f>
        <v>166.60797109790917</v>
      </c>
      <c r="O5" s="156"/>
    </row>
    <row r="6" spans="1:15" x14ac:dyDescent="0.25">
      <c r="A6" s="152" t="s">
        <v>10</v>
      </c>
      <c r="B6" s="153"/>
      <c r="C6" s="154"/>
      <c r="D6" s="154"/>
      <c r="E6" s="154"/>
      <c r="F6" s="154"/>
      <c r="G6" s="154"/>
      <c r="H6" s="154"/>
      <c r="I6" s="154"/>
      <c r="J6" s="158" t="s">
        <v>12</v>
      </c>
      <c r="K6" s="154"/>
      <c r="L6" s="154"/>
      <c r="M6" s="154"/>
      <c r="N6" s="154"/>
      <c r="O6" s="156"/>
    </row>
    <row r="7" spans="1:15" x14ac:dyDescent="0.25">
      <c r="A7" s="152" t="s">
        <v>13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5" x14ac:dyDescent="0.25">
      <c r="A8" s="160"/>
      <c r="B8" s="154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5" x14ac:dyDescent="0.25">
      <c r="A9" s="152" t="s">
        <v>14</v>
      </c>
      <c r="B9" s="152" t="s">
        <v>15</v>
      </c>
      <c r="C9" s="152" t="s">
        <v>16</v>
      </c>
      <c r="D9" s="152" t="s">
        <v>17</v>
      </c>
      <c r="E9" s="152" t="s">
        <v>18</v>
      </c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5" x14ac:dyDescent="0.25">
      <c r="A10" s="161">
        <v>10</v>
      </c>
      <c r="B10" s="86" t="str">
        <f>'SU 04001'!B5</f>
        <v>Lower Back Bearing Support</v>
      </c>
      <c r="C10" s="74">
        <f>'SU 04001'!N2</f>
        <v>8.9540000000000006</v>
      </c>
      <c r="D10" s="162">
        <f>SU_04001_q</f>
        <v>1</v>
      </c>
      <c r="E10" s="74">
        <f t="shared" ref="E10:E20" si="0">C10*D10</f>
        <v>8.9540000000000006</v>
      </c>
      <c r="F10" s="154"/>
      <c r="G10" s="154"/>
      <c r="H10" s="154"/>
      <c r="I10" s="154"/>
      <c r="J10" s="154"/>
      <c r="K10" s="154"/>
      <c r="L10" s="154"/>
      <c r="M10" s="154"/>
      <c r="N10" s="154"/>
      <c r="O10" s="156"/>
    </row>
    <row r="11" spans="1:15" x14ac:dyDescent="0.25">
      <c r="A11" s="161">
        <v>20</v>
      </c>
      <c r="B11" s="86" t="str">
        <f>'SU 04002'!B5</f>
        <v>Inner Bearing Support</v>
      </c>
      <c r="C11" s="74">
        <f>'SU 04002'!N2</f>
        <v>1.8728805440000003</v>
      </c>
      <c r="D11" s="162">
        <f>SU_04002_q</f>
        <v>2</v>
      </c>
      <c r="E11" s="74">
        <f t="shared" si="0"/>
        <v>3.7457610880000005</v>
      </c>
      <c r="F11" s="157"/>
      <c r="G11" s="157"/>
      <c r="H11" s="157"/>
      <c r="I11" s="157"/>
      <c r="J11" s="157"/>
      <c r="K11" s="157"/>
      <c r="L11" s="157"/>
      <c r="M11" s="157"/>
      <c r="N11" s="157"/>
      <c r="O11" s="156"/>
    </row>
    <row r="12" spans="1:15" x14ac:dyDescent="0.25">
      <c r="A12" s="161">
        <v>30</v>
      </c>
      <c r="B12" s="86" t="str">
        <f>'SU 04003'!B5</f>
        <v>Lower Back A-arm tube (Front)  Carbon Fiber Tube</v>
      </c>
      <c r="C12" s="74">
        <f>'SU 04003'!N2</f>
        <v>12.033390599999997</v>
      </c>
      <c r="D12" s="162">
        <f>SU_04003_q</f>
        <v>1</v>
      </c>
      <c r="E12" s="74">
        <f t="shared" si="0"/>
        <v>12.033390599999997</v>
      </c>
      <c r="F12" s="157"/>
      <c r="G12" s="157"/>
      <c r="H12" s="157"/>
      <c r="I12" s="157"/>
      <c r="J12" s="157"/>
      <c r="K12" s="157"/>
      <c r="L12" s="157"/>
      <c r="M12" s="157"/>
      <c r="N12" s="157"/>
      <c r="O12" s="64"/>
    </row>
    <row r="13" spans="1:15" s="163" customFormat="1" x14ac:dyDescent="0.25">
      <c r="A13" s="161">
        <v>40</v>
      </c>
      <c r="B13" s="86" t="str">
        <f>'SU 04004'!B5</f>
        <v>Lower Back A-arm tube (Back)  Carbon Fiber Tube</v>
      </c>
      <c r="C13" s="74">
        <f>'SU 04004'!N2</f>
        <v>7.4075677199999985</v>
      </c>
      <c r="D13" s="162">
        <f>SU_04004_q</f>
        <v>1</v>
      </c>
      <c r="E13" s="74">
        <f t="shared" si="0"/>
        <v>7.4075677199999985</v>
      </c>
      <c r="F13" s="157"/>
      <c r="G13" s="157"/>
      <c r="H13" s="157"/>
      <c r="I13" s="157"/>
      <c r="J13" s="157"/>
      <c r="K13" s="157"/>
      <c r="L13" s="157"/>
      <c r="M13" s="157"/>
      <c r="N13" s="157"/>
      <c r="O13" s="64"/>
    </row>
    <row r="14" spans="1:15" s="163" customFormat="1" x14ac:dyDescent="0.25">
      <c r="A14" s="161">
        <v>50</v>
      </c>
      <c r="B14" s="86" t="str">
        <f>'SU 04005'!B5</f>
        <v>Spacer 1</v>
      </c>
      <c r="C14" s="74">
        <f>'SU 04005'!N2</f>
        <v>1.6276857568</v>
      </c>
      <c r="D14" s="162">
        <f>SU_04005_q</f>
        <v>2</v>
      </c>
      <c r="E14" s="74">
        <f t="shared" si="0"/>
        <v>3.2553715136000001</v>
      </c>
      <c r="F14" s="157"/>
      <c r="G14" s="157"/>
      <c r="H14" s="157"/>
      <c r="I14" s="157"/>
      <c r="J14" s="157"/>
      <c r="K14" s="157"/>
      <c r="L14" s="157"/>
      <c r="M14" s="157"/>
      <c r="N14" s="157"/>
      <c r="O14" s="164"/>
    </row>
    <row r="15" spans="1:15" s="163" customFormat="1" x14ac:dyDescent="0.25">
      <c r="A15" s="161">
        <v>60</v>
      </c>
      <c r="B15" s="86" t="str">
        <f>'SU 04006'!B5</f>
        <v>Spacer 2</v>
      </c>
      <c r="C15" s="74">
        <f>'SU 04006'!N2</f>
        <v>0.80517824000000005</v>
      </c>
      <c r="D15" s="162">
        <f>SU_04006_q</f>
        <v>4</v>
      </c>
      <c r="E15" s="74">
        <f t="shared" si="0"/>
        <v>3.2207129600000002</v>
      </c>
      <c r="F15" s="157"/>
      <c r="G15" s="157"/>
      <c r="H15" s="157"/>
      <c r="I15" s="157"/>
      <c r="J15" s="157"/>
      <c r="K15" s="157"/>
      <c r="L15" s="157"/>
      <c r="M15" s="157"/>
      <c r="N15" s="157"/>
      <c r="O15" s="164"/>
    </row>
    <row r="16" spans="1:15" s="163" customFormat="1" x14ac:dyDescent="0.25">
      <c r="A16" s="161">
        <v>70</v>
      </c>
      <c r="B16" s="86" t="str">
        <f>'SU 04007'!B5</f>
        <v>Outboard A-arm Insert</v>
      </c>
      <c r="C16" s="74">
        <f>'SU 04007'!N2</f>
        <v>0.47719727680000001</v>
      </c>
      <c r="D16" s="162">
        <f>SU_04007_q</f>
        <v>2</v>
      </c>
      <c r="E16" s="74">
        <f t="shared" si="0"/>
        <v>0.95439455360000003</v>
      </c>
      <c r="F16" s="157"/>
      <c r="G16" s="157"/>
      <c r="H16" s="157"/>
      <c r="I16" s="157"/>
      <c r="J16" s="157"/>
      <c r="K16" s="157"/>
      <c r="L16" s="157"/>
      <c r="M16" s="157"/>
      <c r="N16" s="157"/>
      <c r="O16" s="164"/>
    </row>
    <row r="17" spans="1:15" s="17" customFormat="1" x14ac:dyDescent="0.25">
      <c r="A17" s="482">
        <v>80</v>
      </c>
      <c r="B17" s="560" t="str">
        <f>'SU 04008'!B5</f>
        <v>Front up bracket</v>
      </c>
      <c r="C17" s="488">
        <f>'SU 04008'!N2</f>
        <v>1.3905750000000001</v>
      </c>
      <c r="D17" s="472">
        <f>SU_04008_q</f>
        <v>1</v>
      </c>
      <c r="E17" s="74">
        <f t="shared" si="0"/>
        <v>1.3905750000000001</v>
      </c>
      <c r="F17" s="340"/>
      <c r="G17" s="340"/>
      <c r="H17" s="340"/>
      <c r="I17" s="340"/>
      <c r="J17" s="340"/>
      <c r="K17" s="340"/>
      <c r="L17" s="340"/>
      <c r="M17" s="340"/>
      <c r="N17" s="340"/>
      <c r="O17" s="345"/>
    </row>
    <row r="18" spans="1:15" s="17" customFormat="1" x14ac:dyDescent="0.25">
      <c r="A18" s="482">
        <v>90</v>
      </c>
      <c r="B18" s="560" t="str">
        <f>'SU 04009'!B5</f>
        <v>Front down bracket</v>
      </c>
      <c r="C18" s="488">
        <f>'SU 04009'!N2</f>
        <v>1.3814265000000003</v>
      </c>
      <c r="D18" s="472">
        <f>SU_04009_q</f>
        <v>1</v>
      </c>
      <c r="E18" s="74">
        <f t="shared" si="0"/>
        <v>1.3814265000000003</v>
      </c>
      <c r="F18" s="340"/>
      <c r="G18" s="340"/>
      <c r="H18" s="340"/>
      <c r="I18" s="340"/>
      <c r="J18" s="340"/>
      <c r="K18" s="340"/>
      <c r="L18" s="340"/>
      <c r="M18" s="340"/>
      <c r="N18" s="340"/>
      <c r="O18" s="345"/>
    </row>
    <row r="19" spans="1:15" s="17" customFormat="1" x14ac:dyDescent="0.25">
      <c r="A19" s="482">
        <v>100</v>
      </c>
      <c r="B19" s="560" t="str">
        <f>'SU 04010'!B5</f>
        <v>Rear up bracket</v>
      </c>
      <c r="C19" s="488">
        <f>'SU 04010'!N2</f>
        <v>1.8130709999999999</v>
      </c>
      <c r="D19" s="472">
        <f>SU_04010_q</f>
        <v>1</v>
      </c>
      <c r="E19" s="74">
        <f t="shared" si="0"/>
        <v>1.8130709999999999</v>
      </c>
      <c r="F19" s="340"/>
      <c r="G19" s="340"/>
      <c r="H19" s="340"/>
      <c r="I19" s="340"/>
      <c r="J19" s="340"/>
      <c r="K19" s="340"/>
      <c r="L19" s="340"/>
      <c r="M19" s="340"/>
      <c r="N19" s="340"/>
      <c r="O19" s="345"/>
    </row>
    <row r="20" spans="1:15" s="17" customFormat="1" x14ac:dyDescent="0.25">
      <c r="A20" s="482">
        <v>110</v>
      </c>
      <c r="B20" s="560" t="str">
        <f>'SU 04011'!B5</f>
        <v>Rear down bracket</v>
      </c>
      <c r="C20" s="488">
        <f>'SU 04011'!N2</f>
        <v>1.9015070000000001</v>
      </c>
      <c r="D20" s="472">
        <f>SU_04011_q</f>
        <v>1</v>
      </c>
      <c r="E20" s="74">
        <f t="shared" si="0"/>
        <v>1.9015070000000001</v>
      </c>
      <c r="F20" s="340"/>
      <c r="G20" s="340"/>
      <c r="H20" s="340"/>
      <c r="I20" s="340"/>
      <c r="J20" s="340"/>
      <c r="K20" s="340"/>
      <c r="L20" s="340"/>
      <c r="M20" s="340"/>
      <c r="N20" s="340"/>
      <c r="O20" s="345"/>
    </row>
    <row r="21" spans="1:15" x14ac:dyDescent="0.25">
      <c r="A21" s="160"/>
      <c r="B21" s="154"/>
      <c r="C21" s="154"/>
      <c r="D21" s="165" t="s">
        <v>18</v>
      </c>
      <c r="E21" s="166">
        <f>SUM(E10:E20)</f>
        <v>46.057777935199994</v>
      </c>
      <c r="F21" s="157"/>
      <c r="G21" s="157"/>
      <c r="H21" s="157"/>
      <c r="I21" s="157"/>
      <c r="J21" s="157"/>
      <c r="K21" s="157"/>
      <c r="L21" s="157"/>
      <c r="M21" s="157"/>
      <c r="N21" s="157"/>
      <c r="O21" s="156"/>
    </row>
    <row r="22" spans="1:15" x14ac:dyDescent="0.25">
      <c r="A22" s="160"/>
      <c r="B22" s="154"/>
      <c r="C22" s="154"/>
      <c r="D22" s="154"/>
      <c r="E22" s="154"/>
      <c r="F22" s="154"/>
      <c r="G22" s="154"/>
      <c r="H22" s="154"/>
      <c r="I22" s="154"/>
      <c r="J22" s="154"/>
      <c r="K22" s="154"/>
      <c r="L22" s="154"/>
      <c r="M22" s="154"/>
      <c r="N22" s="154"/>
      <c r="O22" s="156"/>
    </row>
    <row r="23" spans="1:15" x14ac:dyDescent="0.25">
      <c r="A23" s="152" t="s">
        <v>14</v>
      </c>
      <c r="B23" s="152" t="s">
        <v>19</v>
      </c>
      <c r="C23" s="152" t="s">
        <v>20</v>
      </c>
      <c r="D23" s="152" t="s">
        <v>21</v>
      </c>
      <c r="E23" s="152" t="s">
        <v>22</v>
      </c>
      <c r="F23" s="152" t="s">
        <v>23</v>
      </c>
      <c r="G23" s="152" t="s">
        <v>24</v>
      </c>
      <c r="H23" s="152" t="s">
        <v>25</v>
      </c>
      <c r="I23" s="152" t="s">
        <v>26</v>
      </c>
      <c r="J23" s="152" t="s">
        <v>27</v>
      </c>
      <c r="K23" s="152" t="s">
        <v>28</v>
      </c>
      <c r="L23" s="152" t="s">
        <v>29</v>
      </c>
      <c r="M23" s="152" t="s">
        <v>17</v>
      </c>
      <c r="N23" s="152" t="s">
        <v>18</v>
      </c>
      <c r="O23" s="156"/>
    </row>
    <row r="24" spans="1:15" ht="14.45" customHeight="1" x14ac:dyDescent="0.25">
      <c r="A24" s="161">
        <v>10</v>
      </c>
      <c r="B24" s="161" t="s">
        <v>65</v>
      </c>
      <c r="C24" s="161"/>
      <c r="D24" s="124">
        <f>0.03*E24^2+5</f>
        <v>6.92</v>
      </c>
      <c r="E24" s="161">
        <v>8</v>
      </c>
      <c r="F24" s="161" t="s">
        <v>30</v>
      </c>
      <c r="G24" s="161"/>
      <c r="H24" s="75"/>
      <c r="I24" s="167"/>
      <c r="J24" s="77"/>
      <c r="K24" s="75"/>
      <c r="L24" s="75"/>
      <c r="M24" s="75">
        <v>3</v>
      </c>
      <c r="N24" s="74">
        <f>M24*D24</f>
        <v>20.759999999999998</v>
      </c>
      <c r="O24" s="156"/>
    </row>
    <row r="25" spans="1:15" s="174" customFormat="1" ht="14.45" customHeight="1" x14ac:dyDescent="0.25">
      <c r="A25" s="161">
        <v>20</v>
      </c>
      <c r="B25" s="168" t="s">
        <v>70</v>
      </c>
      <c r="C25" s="169" t="s">
        <v>71</v>
      </c>
      <c r="D25" s="74"/>
      <c r="E25" s="170"/>
      <c r="F25" s="170"/>
      <c r="G25" s="170"/>
      <c r="H25" s="75"/>
      <c r="I25" s="171"/>
      <c r="J25" s="94"/>
      <c r="K25" s="78"/>
      <c r="L25" s="172"/>
      <c r="M25" s="80"/>
      <c r="N25" s="74">
        <f>M25*D25</f>
        <v>0</v>
      </c>
      <c r="O25" s="173"/>
    </row>
    <row r="26" spans="1:15" ht="14.45" customHeight="1" x14ac:dyDescent="0.25">
      <c r="A26" s="161">
        <v>30</v>
      </c>
      <c r="B26" s="168" t="s">
        <v>70</v>
      </c>
      <c r="C26" s="169" t="s">
        <v>72</v>
      </c>
      <c r="D26" s="74"/>
      <c r="E26" s="161"/>
      <c r="F26" s="161"/>
      <c r="G26" s="161"/>
      <c r="H26" s="75"/>
      <c r="I26" s="80"/>
      <c r="J26" s="81"/>
      <c r="K26" s="75"/>
      <c r="L26" s="172"/>
      <c r="M26" s="75"/>
      <c r="N26" s="74">
        <f>M26*D26</f>
        <v>0</v>
      </c>
      <c r="O26" s="156"/>
    </row>
    <row r="27" spans="1:15" x14ac:dyDescent="0.25">
      <c r="A27" s="175"/>
      <c r="B27" s="176"/>
      <c r="C27" s="176"/>
      <c r="D27" s="176"/>
      <c r="E27" s="176"/>
      <c r="F27" s="176"/>
      <c r="G27" s="176"/>
      <c r="H27" s="176"/>
      <c r="I27" s="176"/>
      <c r="J27" s="176"/>
      <c r="K27" s="176"/>
      <c r="L27" s="176"/>
      <c r="M27" s="152" t="s">
        <v>18</v>
      </c>
      <c r="N27" s="166">
        <f>SUM(N24:N26)</f>
        <v>20.759999999999998</v>
      </c>
      <c r="O27" s="156"/>
    </row>
    <row r="28" spans="1:15" x14ac:dyDescent="0.25">
      <c r="A28" s="160"/>
      <c r="B28" s="154"/>
      <c r="C28" s="154"/>
      <c r="D28" s="154"/>
      <c r="E28" s="154"/>
      <c r="F28" s="154"/>
      <c r="G28" s="154"/>
      <c r="H28" s="154"/>
      <c r="I28" s="154"/>
      <c r="J28" s="154"/>
      <c r="K28" s="154"/>
      <c r="L28" s="154"/>
      <c r="M28" s="154"/>
      <c r="N28" s="154"/>
      <c r="O28" s="156"/>
    </row>
    <row r="29" spans="1:15" s="178" customFormat="1" x14ac:dyDescent="0.25">
      <c r="A29" s="152" t="s">
        <v>14</v>
      </c>
      <c r="B29" s="152" t="s">
        <v>31</v>
      </c>
      <c r="C29" s="152" t="s">
        <v>20</v>
      </c>
      <c r="D29" s="152" t="s">
        <v>21</v>
      </c>
      <c r="E29" s="152" t="s">
        <v>32</v>
      </c>
      <c r="F29" s="152" t="s">
        <v>17</v>
      </c>
      <c r="G29" s="152" t="s">
        <v>33</v>
      </c>
      <c r="H29" s="152" t="s">
        <v>34</v>
      </c>
      <c r="I29" s="152" t="s">
        <v>18</v>
      </c>
      <c r="J29" s="176"/>
      <c r="K29" s="176"/>
      <c r="L29" s="176"/>
      <c r="M29" s="176"/>
      <c r="N29" s="176"/>
      <c r="O29" s="177"/>
    </row>
    <row r="30" spans="1:15" s="180" customFormat="1" x14ac:dyDescent="0.25">
      <c r="A30" s="220">
        <v>10</v>
      </c>
      <c r="B30" s="276" t="s">
        <v>76</v>
      </c>
      <c r="C30" s="221" t="s">
        <v>169</v>
      </c>
      <c r="D30" s="273">
        <v>0.02</v>
      </c>
      <c r="E30" s="220" t="s">
        <v>74</v>
      </c>
      <c r="F30" s="231">
        <v>8.66</v>
      </c>
      <c r="G30" s="231" t="s">
        <v>153</v>
      </c>
      <c r="H30" s="231">
        <v>2</v>
      </c>
      <c r="I30" s="273">
        <f t="shared" ref="I30:I51" si="1">IF(H30="",D30*F30,D30*F30*H30)</f>
        <v>0.34639999999999999</v>
      </c>
      <c r="J30" s="222"/>
      <c r="K30" s="222"/>
      <c r="L30" s="222"/>
      <c r="M30" s="222"/>
      <c r="N30" s="222"/>
      <c r="O30" s="223"/>
    </row>
    <row r="31" spans="1:15" s="180" customFormat="1" x14ac:dyDescent="0.25">
      <c r="A31" s="220">
        <v>20</v>
      </c>
      <c r="B31" s="276" t="s">
        <v>73</v>
      </c>
      <c r="C31" s="221" t="s">
        <v>170</v>
      </c>
      <c r="D31" s="273">
        <v>0.02</v>
      </c>
      <c r="E31" s="220" t="s">
        <v>74</v>
      </c>
      <c r="F31" s="231">
        <v>8.66</v>
      </c>
      <c r="G31" s="231" t="s">
        <v>153</v>
      </c>
      <c r="H31" s="231">
        <v>2</v>
      </c>
      <c r="I31" s="273">
        <f t="shared" si="1"/>
        <v>0.34639999999999999</v>
      </c>
      <c r="J31" s="224"/>
      <c r="K31" s="224"/>
      <c r="L31" s="224"/>
      <c r="M31" s="224"/>
      <c r="N31" s="224"/>
      <c r="O31" s="225"/>
    </row>
    <row r="32" spans="1:15" s="180" customFormat="1" x14ac:dyDescent="0.25">
      <c r="A32" s="220">
        <v>30</v>
      </c>
      <c r="B32" s="276" t="s">
        <v>76</v>
      </c>
      <c r="C32" s="221" t="s">
        <v>172</v>
      </c>
      <c r="D32" s="273">
        <v>0.02</v>
      </c>
      <c r="E32" s="220" t="s">
        <v>74</v>
      </c>
      <c r="F32" s="231">
        <v>8.66</v>
      </c>
      <c r="G32" s="231" t="s">
        <v>153</v>
      </c>
      <c r="H32" s="231">
        <v>2</v>
      </c>
      <c r="I32" s="273">
        <f t="shared" si="1"/>
        <v>0.34639999999999999</v>
      </c>
      <c r="J32" s="222"/>
      <c r="K32" s="222"/>
      <c r="L32" s="222"/>
      <c r="M32" s="222"/>
      <c r="N32" s="222"/>
      <c r="O32" s="223"/>
    </row>
    <row r="33" spans="1:15" s="180" customFormat="1" x14ac:dyDescent="0.25">
      <c r="A33" s="220">
        <v>40</v>
      </c>
      <c r="B33" s="276" t="s">
        <v>154</v>
      </c>
      <c r="C33" s="226" t="s">
        <v>174</v>
      </c>
      <c r="D33" s="273">
        <v>0.06</v>
      </c>
      <c r="E33" s="276" t="s">
        <v>32</v>
      </c>
      <c r="F33" s="231">
        <v>1</v>
      </c>
      <c r="G33" s="231" t="s">
        <v>153</v>
      </c>
      <c r="H33" s="231">
        <v>2</v>
      </c>
      <c r="I33" s="273">
        <f t="shared" si="1"/>
        <v>0.12</v>
      </c>
      <c r="J33" s="224"/>
      <c r="K33" s="224"/>
      <c r="L33" s="224"/>
      <c r="M33" s="224"/>
      <c r="N33" s="224"/>
      <c r="O33" s="225"/>
    </row>
    <row r="34" spans="1:15" s="180" customFormat="1" x14ac:dyDescent="0.25">
      <c r="A34" s="220">
        <v>50</v>
      </c>
      <c r="B34" s="276" t="s">
        <v>76</v>
      </c>
      <c r="C34" s="221" t="s">
        <v>175</v>
      </c>
      <c r="D34" s="273">
        <v>0.02</v>
      </c>
      <c r="E34" s="220" t="s">
        <v>74</v>
      </c>
      <c r="F34" s="231">
        <v>12.43</v>
      </c>
      <c r="G34" s="231" t="s">
        <v>153</v>
      </c>
      <c r="H34" s="231">
        <v>2</v>
      </c>
      <c r="I34" s="273">
        <f t="shared" si="1"/>
        <v>0.49719999999999998</v>
      </c>
      <c r="J34" s="222"/>
      <c r="K34" s="222"/>
      <c r="L34" s="222"/>
      <c r="M34" s="222"/>
      <c r="N34" s="222"/>
      <c r="O34" s="223"/>
    </row>
    <row r="35" spans="1:15" s="180" customFormat="1" x14ac:dyDescent="0.25">
      <c r="A35" s="220">
        <v>60</v>
      </c>
      <c r="B35" s="276" t="s">
        <v>73</v>
      </c>
      <c r="C35" s="221" t="s">
        <v>176</v>
      </c>
      <c r="D35" s="273">
        <v>0.02</v>
      </c>
      <c r="E35" s="220" t="s">
        <v>74</v>
      </c>
      <c r="F35" s="231">
        <v>12.43</v>
      </c>
      <c r="G35" s="231" t="s">
        <v>153</v>
      </c>
      <c r="H35" s="231">
        <v>2</v>
      </c>
      <c r="I35" s="273">
        <f t="shared" si="1"/>
        <v>0.49719999999999998</v>
      </c>
      <c r="J35" s="224"/>
      <c r="K35" s="224"/>
      <c r="L35" s="224"/>
      <c r="M35" s="224"/>
      <c r="N35" s="224"/>
      <c r="O35" s="225"/>
    </row>
    <row r="36" spans="1:15" s="180" customFormat="1" x14ac:dyDescent="0.25">
      <c r="A36" s="220">
        <v>70</v>
      </c>
      <c r="B36" s="276" t="s">
        <v>76</v>
      </c>
      <c r="C36" s="221" t="s">
        <v>155</v>
      </c>
      <c r="D36" s="273">
        <v>0.02</v>
      </c>
      <c r="E36" s="220" t="s">
        <v>74</v>
      </c>
      <c r="F36" s="231">
        <v>12.43</v>
      </c>
      <c r="G36" s="231" t="s">
        <v>153</v>
      </c>
      <c r="H36" s="231">
        <v>2</v>
      </c>
      <c r="I36" s="273">
        <f t="shared" si="1"/>
        <v>0.49719999999999998</v>
      </c>
      <c r="J36" s="222"/>
      <c r="K36" s="222"/>
      <c r="L36" s="222"/>
      <c r="M36" s="222"/>
      <c r="N36" s="222"/>
      <c r="O36" s="223"/>
    </row>
    <row r="37" spans="1:15" s="180" customFormat="1" x14ac:dyDescent="0.25">
      <c r="A37" s="220">
        <v>80</v>
      </c>
      <c r="B37" s="276" t="s">
        <v>154</v>
      </c>
      <c r="C37" s="226" t="s">
        <v>177</v>
      </c>
      <c r="D37" s="273">
        <v>0.14000000000000001</v>
      </c>
      <c r="E37" s="276" t="s">
        <v>32</v>
      </c>
      <c r="F37" s="231">
        <v>1</v>
      </c>
      <c r="G37" s="231" t="s">
        <v>153</v>
      </c>
      <c r="H37" s="231">
        <v>2</v>
      </c>
      <c r="I37" s="273">
        <f t="shared" si="1"/>
        <v>0.28000000000000003</v>
      </c>
      <c r="J37" s="227"/>
      <c r="K37" s="227"/>
      <c r="L37" s="227"/>
      <c r="M37" s="227"/>
      <c r="N37" s="227"/>
      <c r="O37" s="228"/>
    </row>
    <row r="38" spans="1:15" s="180" customFormat="1" x14ac:dyDescent="0.25">
      <c r="A38" s="220">
        <v>90</v>
      </c>
      <c r="B38" s="276" t="s">
        <v>76</v>
      </c>
      <c r="C38" s="221" t="s">
        <v>171</v>
      </c>
      <c r="D38" s="273">
        <v>0.02</v>
      </c>
      <c r="E38" s="220" t="s">
        <v>74</v>
      </c>
      <c r="F38" s="231">
        <v>12.43</v>
      </c>
      <c r="G38" s="231" t="s">
        <v>153</v>
      </c>
      <c r="H38" s="231">
        <v>2</v>
      </c>
      <c r="I38" s="273">
        <f t="shared" si="1"/>
        <v>0.49719999999999998</v>
      </c>
      <c r="J38" s="222"/>
      <c r="K38" s="222"/>
      <c r="L38" s="222"/>
      <c r="M38" s="222"/>
      <c r="N38" s="222"/>
      <c r="O38" s="223"/>
    </row>
    <row r="39" spans="1:15" s="180" customFormat="1" x14ac:dyDescent="0.25">
      <c r="A39" s="220">
        <v>100</v>
      </c>
      <c r="B39" s="276" t="s">
        <v>73</v>
      </c>
      <c r="C39" s="221" t="s">
        <v>173</v>
      </c>
      <c r="D39" s="273">
        <v>0.18</v>
      </c>
      <c r="E39" s="220" t="s">
        <v>74</v>
      </c>
      <c r="F39" s="231">
        <v>12.43</v>
      </c>
      <c r="G39" s="231" t="s">
        <v>153</v>
      </c>
      <c r="H39" s="231">
        <v>2</v>
      </c>
      <c r="I39" s="273">
        <f t="shared" si="1"/>
        <v>4.4748000000000001</v>
      </c>
      <c r="J39" s="227"/>
      <c r="K39" s="227"/>
      <c r="L39" s="227"/>
      <c r="M39" s="227"/>
      <c r="N39" s="227"/>
      <c r="O39" s="223"/>
    </row>
    <row r="40" spans="1:15" s="180" customFormat="1" x14ac:dyDescent="0.25">
      <c r="A40" s="220">
        <v>110</v>
      </c>
      <c r="B40" s="276" t="s">
        <v>76</v>
      </c>
      <c r="C40" s="221" t="s">
        <v>155</v>
      </c>
      <c r="D40" s="273">
        <v>0.02</v>
      </c>
      <c r="E40" s="220" t="s">
        <v>74</v>
      </c>
      <c r="F40" s="231">
        <v>12.43</v>
      </c>
      <c r="G40" s="231" t="s">
        <v>153</v>
      </c>
      <c r="H40" s="231">
        <v>2</v>
      </c>
      <c r="I40" s="273">
        <f t="shared" si="1"/>
        <v>0.49719999999999998</v>
      </c>
      <c r="J40" s="222"/>
      <c r="K40" s="222"/>
      <c r="L40" s="222"/>
      <c r="M40" s="222"/>
      <c r="N40" s="222"/>
      <c r="O40" s="223"/>
    </row>
    <row r="41" spans="1:15" s="180" customFormat="1" ht="30" x14ac:dyDescent="0.25">
      <c r="A41" s="220">
        <v>120</v>
      </c>
      <c r="B41" s="276" t="s">
        <v>154</v>
      </c>
      <c r="C41" s="226" t="s">
        <v>178</v>
      </c>
      <c r="D41" s="273">
        <v>0.22</v>
      </c>
      <c r="E41" s="276" t="s">
        <v>32</v>
      </c>
      <c r="F41" s="231">
        <v>1</v>
      </c>
      <c r="G41" s="231" t="s">
        <v>153</v>
      </c>
      <c r="H41" s="231">
        <v>2</v>
      </c>
      <c r="I41" s="273">
        <f t="shared" si="1"/>
        <v>0.44</v>
      </c>
      <c r="J41" s="227"/>
      <c r="K41" s="227"/>
      <c r="L41" s="227"/>
      <c r="M41" s="227"/>
      <c r="N41" s="227"/>
      <c r="O41" s="223"/>
    </row>
    <row r="42" spans="1:15" s="180" customFormat="1" x14ac:dyDescent="0.25">
      <c r="A42" s="220">
        <v>130</v>
      </c>
      <c r="B42" s="276" t="s">
        <v>76</v>
      </c>
      <c r="C42" s="221" t="s">
        <v>156</v>
      </c>
      <c r="D42" s="273">
        <v>0.02</v>
      </c>
      <c r="E42" s="220" t="s">
        <v>74</v>
      </c>
      <c r="F42" s="231">
        <v>4.01</v>
      </c>
      <c r="G42" s="231" t="s">
        <v>157</v>
      </c>
      <c r="H42" s="231">
        <v>3</v>
      </c>
      <c r="I42" s="273">
        <f t="shared" si="1"/>
        <v>0.24059999999999998</v>
      </c>
      <c r="J42" s="222"/>
      <c r="K42" s="222"/>
      <c r="L42" s="222"/>
      <c r="M42" s="222"/>
      <c r="N42" s="222"/>
      <c r="O42" s="223"/>
    </row>
    <row r="43" spans="1:15" s="180" customFormat="1" x14ac:dyDescent="0.25">
      <c r="A43" s="220">
        <v>140</v>
      </c>
      <c r="B43" s="229" t="s">
        <v>73</v>
      </c>
      <c r="C43" s="221" t="s">
        <v>158</v>
      </c>
      <c r="D43" s="273">
        <v>0.02</v>
      </c>
      <c r="E43" s="220" t="s">
        <v>74</v>
      </c>
      <c r="F43" s="231">
        <v>4.01</v>
      </c>
      <c r="G43" s="231" t="s">
        <v>157</v>
      </c>
      <c r="H43" s="231">
        <v>3</v>
      </c>
      <c r="I43" s="273">
        <f t="shared" si="1"/>
        <v>0.24059999999999998</v>
      </c>
      <c r="J43" s="227"/>
      <c r="K43" s="227"/>
      <c r="L43" s="227"/>
      <c r="M43" s="227"/>
      <c r="N43" s="227"/>
      <c r="O43" s="223"/>
    </row>
    <row r="44" spans="1:15" s="180" customFormat="1" x14ac:dyDescent="0.25">
      <c r="A44" s="220">
        <v>150</v>
      </c>
      <c r="B44" s="276" t="s">
        <v>154</v>
      </c>
      <c r="C44" s="221" t="s">
        <v>159</v>
      </c>
      <c r="D44" s="273">
        <v>0.3</v>
      </c>
      <c r="E44" s="276" t="s">
        <v>32</v>
      </c>
      <c r="F44" s="231">
        <v>1</v>
      </c>
      <c r="G44" s="231" t="s">
        <v>157</v>
      </c>
      <c r="H44" s="231">
        <v>3</v>
      </c>
      <c r="I44" s="273">
        <f t="shared" si="1"/>
        <v>0.89999999999999991</v>
      </c>
      <c r="J44" s="227"/>
      <c r="K44" s="227"/>
      <c r="L44" s="227"/>
      <c r="M44" s="227"/>
      <c r="N44" s="227"/>
      <c r="O44" s="223"/>
    </row>
    <row r="45" spans="1:15" s="180" customFormat="1" x14ac:dyDescent="0.25">
      <c r="A45" s="220">
        <v>160</v>
      </c>
      <c r="B45" s="220" t="s">
        <v>160</v>
      </c>
      <c r="C45" s="221" t="s">
        <v>161</v>
      </c>
      <c r="D45" s="273">
        <v>0.15</v>
      </c>
      <c r="E45" s="220" t="s">
        <v>74</v>
      </c>
      <c r="F45" s="231">
        <v>22</v>
      </c>
      <c r="G45" s="231"/>
      <c r="H45" s="215"/>
      <c r="I45" s="273">
        <f t="shared" si="1"/>
        <v>3.3</v>
      </c>
      <c r="J45" s="227"/>
      <c r="K45" s="227"/>
      <c r="L45" s="227"/>
      <c r="M45" s="227"/>
      <c r="N45" s="227"/>
      <c r="O45" s="223"/>
    </row>
    <row r="46" spans="1:15" s="180" customFormat="1" x14ac:dyDescent="0.25">
      <c r="A46" s="220">
        <v>170</v>
      </c>
      <c r="B46" s="276" t="s">
        <v>162</v>
      </c>
      <c r="C46" s="226" t="s">
        <v>163</v>
      </c>
      <c r="D46" s="273">
        <v>5.25</v>
      </c>
      <c r="E46" s="276" t="s">
        <v>77</v>
      </c>
      <c r="F46" s="231">
        <v>0.01</v>
      </c>
      <c r="G46" s="231"/>
      <c r="H46" s="215"/>
      <c r="I46" s="273">
        <f t="shared" si="1"/>
        <v>5.2499999999999998E-2</v>
      </c>
      <c r="J46" s="227"/>
      <c r="K46" s="227"/>
      <c r="L46" s="227"/>
      <c r="M46" s="230"/>
      <c r="N46" s="227"/>
      <c r="O46" s="223"/>
    </row>
    <row r="47" spans="1:15" s="180" customFormat="1" x14ac:dyDescent="0.25">
      <c r="A47" s="220">
        <v>180</v>
      </c>
      <c r="B47" s="220" t="s">
        <v>154</v>
      </c>
      <c r="C47" s="221" t="s">
        <v>164</v>
      </c>
      <c r="D47" s="273">
        <v>0.14000000000000001</v>
      </c>
      <c r="E47" s="220" t="s">
        <v>32</v>
      </c>
      <c r="F47" s="231">
        <v>1</v>
      </c>
      <c r="G47" s="231"/>
      <c r="H47" s="215"/>
      <c r="I47" s="273">
        <f t="shared" si="1"/>
        <v>0.14000000000000001</v>
      </c>
      <c r="J47" s="227"/>
      <c r="K47" s="227"/>
      <c r="L47" s="227"/>
      <c r="M47" s="227"/>
      <c r="N47" s="227"/>
      <c r="O47" s="223"/>
    </row>
    <row r="48" spans="1:15" s="180" customFormat="1" x14ac:dyDescent="0.25">
      <c r="A48" s="220">
        <v>190</v>
      </c>
      <c r="B48" s="276" t="s">
        <v>75</v>
      </c>
      <c r="C48" s="226" t="s">
        <v>165</v>
      </c>
      <c r="D48" s="273">
        <v>0.13</v>
      </c>
      <c r="E48" s="276" t="s">
        <v>32</v>
      </c>
      <c r="F48" s="231">
        <v>4</v>
      </c>
      <c r="G48" s="231"/>
      <c r="H48" s="215"/>
      <c r="I48" s="273">
        <f t="shared" si="1"/>
        <v>0.52</v>
      </c>
      <c r="J48" s="227"/>
      <c r="K48" s="227"/>
      <c r="L48" s="227"/>
      <c r="M48" s="227"/>
      <c r="N48" s="227"/>
      <c r="O48" s="223"/>
    </row>
    <row r="49" spans="1:15" s="180" customFormat="1" x14ac:dyDescent="0.25">
      <c r="A49" s="220">
        <v>200</v>
      </c>
      <c r="B49" s="276" t="s">
        <v>75</v>
      </c>
      <c r="C49" s="226" t="s">
        <v>166</v>
      </c>
      <c r="D49" s="273">
        <v>0.13</v>
      </c>
      <c r="E49" s="276" t="s">
        <v>32</v>
      </c>
      <c r="F49" s="231">
        <v>8</v>
      </c>
      <c r="G49" s="231"/>
      <c r="H49" s="215"/>
      <c r="I49" s="273">
        <f t="shared" si="1"/>
        <v>1.04</v>
      </c>
      <c r="J49" s="227"/>
      <c r="K49" s="227"/>
      <c r="L49" s="227"/>
      <c r="M49" s="227"/>
      <c r="N49" s="227"/>
      <c r="O49" s="223"/>
    </row>
    <row r="50" spans="1:15" s="180" customFormat="1" x14ac:dyDescent="0.25">
      <c r="A50" s="220">
        <v>210</v>
      </c>
      <c r="B50" s="220" t="s">
        <v>78</v>
      </c>
      <c r="C50" s="221" t="s">
        <v>167</v>
      </c>
      <c r="D50" s="273">
        <v>0.13</v>
      </c>
      <c r="E50" s="220" t="s">
        <v>32</v>
      </c>
      <c r="F50" s="231">
        <v>2</v>
      </c>
      <c r="G50" s="231"/>
      <c r="H50" s="215"/>
      <c r="I50" s="273">
        <f t="shared" si="1"/>
        <v>0.26</v>
      </c>
      <c r="J50" s="227"/>
      <c r="K50" s="227"/>
      <c r="L50" s="227"/>
      <c r="M50" s="227"/>
      <c r="N50" s="227"/>
      <c r="O50" s="223"/>
    </row>
    <row r="51" spans="1:15" s="180" customFormat="1" x14ac:dyDescent="0.25">
      <c r="A51" s="220">
        <v>220</v>
      </c>
      <c r="B51" s="276" t="s">
        <v>79</v>
      </c>
      <c r="C51" s="226" t="s">
        <v>168</v>
      </c>
      <c r="D51" s="273">
        <v>0.25</v>
      </c>
      <c r="E51" s="276" t="s">
        <v>32</v>
      </c>
      <c r="F51" s="231">
        <v>2</v>
      </c>
      <c r="G51" s="231"/>
      <c r="H51" s="215"/>
      <c r="I51" s="273">
        <f t="shared" si="1"/>
        <v>0.5</v>
      </c>
      <c r="J51" s="227"/>
      <c r="K51" s="227"/>
      <c r="L51" s="227"/>
      <c r="M51" s="227"/>
      <c r="N51" s="227"/>
      <c r="O51" s="228"/>
    </row>
    <row r="52" spans="1:15" x14ac:dyDescent="0.25">
      <c r="A52" s="175"/>
      <c r="B52" s="176"/>
      <c r="C52" s="176"/>
      <c r="D52" s="176"/>
      <c r="E52" s="176"/>
      <c r="F52" s="176"/>
      <c r="G52" s="176"/>
      <c r="H52" s="165" t="s">
        <v>18</v>
      </c>
      <c r="I52" s="166">
        <f>SUM(I30:I51)</f>
        <v>16.033700000000003</v>
      </c>
      <c r="J52" s="154"/>
      <c r="K52" s="154"/>
      <c r="L52" s="154"/>
      <c r="M52" s="154"/>
      <c r="N52" s="154"/>
      <c r="O52" s="156"/>
    </row>
    <row r="53" spans="1:15" x14ac:dyDescent="0.25">
      <c r="A53" s="160"/>
      <c r="B53" s="154"/>
      <c r="C53" s="154"/>
      <c r="D53" s="154"/>
      <c r="E53" s="154"/>
      <c r="F53" s="154"/>
      <c r="G53" s="154"/>
      <c r="H53" s="154"/>
      <c r="I53" s="154"/>
      <c r="J53" s="154"/>
      <c r="K53" s="154"/>
      <c r="L53" s="154"/>
      <c r="M53" s="154"/>
      <c r="N53" s="154"/>
      <c r="O53" s="156"/>
    </row>
    <row r="54" spans="1:15" x14ac:dyDescent="0.25">
      <c r="A54" s="152" t="s">
        <v>14</v>
      </c>
      <c r="B54" s="152" t="s">
        <v>36</v>
      </c>
      <c r="C54" s="152" t="s">
        <v>20</v>
      </c>
      <c r="D54" s="152" t="s">
        <v>21</v>
      </c>
      <c r="E54" s="152" t="s">
        <v>22</v>
      </c>
      <c r="F54" s="152" t="s">
        <v>23</v>
      </c>
      <c r="G54" s="152" t="s">
        <v>24</v>
      </c>
      <c r="H54" s="152" t="s">
        <v>25</v>
      </c>
      <c r="I54" s="152" t="s">
        <v>17</v>
      </c>
      <c r="J54" s="152" t="s">
        <v>18</v>
      </c>
      <c r="K54" s="154"/>
      <c r="L54" s="154"/>
      <c r="M54" s="154"/>
      <c r="N54" s="154"/>
      <c r="O54" s="156"/>
    </row>
    <row r="55" spans="1:15" x14ac:dyDescent="0.25">
      <c r="A55" s="168">
        <v>10</v>
      </c>
      <c r="B55" s="168" t="s">
        <v>80</v>
      </c>
      <c r="C55" s="168" t="s">
        <v>81</v>
      </c>
      <c r="D55" s="181">
        <f>0.8/105154*E55^2*G55*SQRT(G55)+(0.003*EXP(0.319*E55))</f>
        <v>0.16167651505774214</v>
      </c>
      <c r="E55" s="168">
        <v>8</v>
      </c>
      <c r="F55" s="127" t="s">
        <v>30</v>
      </c>
      <c r="G55" s="182">
        <v>40</v>
      </c>
      <c r="H55" s="179" t="s">
        <v>30</v>
      </c>
      <c r="I55" s="128">
        <v>2</v>
      </c>
      <c r="J55" s="129">
        <f>D55*I55</f>
        <v>0.32335303011548427</v>
      </c>
      <c r="K55" s="154"/>
      <c r="L55" s="154"/>
      <c r="M55" s="154"/>
      <c r="N55" s="154"/>
      <c r="O55" s="156"/>
    </row>
    <row r="56" spans="1:15" x14ac:dyDescent="0.25">
      <c r="A56" s="168">
        <v>20</v>
      </c>
      <c r="B56" s="168" t="s">
        <v>82</v>
      </c>
      <c r="C56" s="168" t="s">
        <v>83</v>
      </c>
      <c r="D56" s="183">
        <f>(0.009*EXP(0.2*E56))</f>
        <v>4.4577291819556032E-2</v>
      </c>
      <c r="E56" s="168">
        <v>8</v>
      </c>
      <c r="F56" s="127" t="s">
        <v>30</v>
      </c>
      <c r="G56" s="168"/>
      <c r="H56" s="179"/>
      <c r="I56" s="130">
        <v>2</v>
      </c>
      <c r="J56" s="126">
        <f>D56*I56</f>
        <v>8.9154583639112064E-2</v>
      </c>
      <c r="K56" s="154"/>
      <c r="L56" s="154"/>
      <c r="M56" s="154"/>
      <c r="N56" s="154"/>
      <c r="O56" s="156"/>
    </row>
    <row r="57" spans="1:15" x14ac:dyDescent="0.25">
      <c r="A57" s="168">
        <v>30</v>
      </c>
      <c r="B57" s="168" t="s">
        <v>84</v>
      </c>
      <c r="C57" s="168" t="s">
        <v>85</v>
      </c>
      <c r="D57" s="168">
        <v>0.01</v>
      </c>
      <c r="E57" s="168">
        <v>8</v>
      </c>
      <c r="F57" s="127" t="s">
        <v>30</v>
      </c>
      <c r="G57" s="168"/>
      <c r="H57" s="179"/>
      <c r="I57" s="130">
        <v>4</v>
      </c>
      <c r="J57" s="126">
        <f>D57*I57</f>
        <v>0.04</v>
      </c>
      <c r="K57" s="184"/>
      <c r="L57" s="184"/>
      <c r="M57" s="184"/>
      <c r="N57" s="184"/>
      <c r="O57" s="156"/>
    </row>
    <row r="58" spans="1:15" x14ac:dyDescent="0.25">
      <c r="A58" s="175"/>
      <c r="B58" s="176"/>
      <c r="C58" s="176"/>
      <c r="D58" s="176"/>
      <c r="E58" s="176"/>
      <c r="F58" s="176"/>
      <c r="G58" s="176"/>
      <c r="H58" s="176"/>
      <c r="I58" s="165" t="s">
        <v>18</v>
      </c>
      <c r="J58" s="166">
        <f>SUM(J55:J57)</f>
        <v>0.45250761375459631</v>
      </c>
      <c r="K58" s="154"/>
      <c r="L58" s="154"/>
      <c r="M58" s="154"/>
      <c r="N58" s="154"/>
      <c r="O58" s="156"/>
    </row>
    <row r="59" spans="1:15" x14ac:dyDescent="0.25">
      <c r="A59" s="160"/>
      <c r="B59" s="154"/>
      <c r="C59" s="154"/>
      <c r="D59" s="154"/>
      <c r="E59" s="154"/>
      <c r="F59" s="154"/>
      <c r="G59" s="154"/>
      <c r="H59" s="154"/>
      <c r="I59" s="154"/>
      <c r="J59" s="154"/>
      <c r="K59" s="154"/>
      <c r="L59" s="154"/>
      <c r="M59" s="154"/>
      <c r="N59" s="154"/>
      <c r="O59" s="156"/>
    </row>
    <row r="60" spans="1:15" s="180" customFormat="1" x14ac:dyDescent="0.25">
      <c r="A60" s="241" t="s">
        <v>14</v>
      </c>
      <c r="B60" s="95" t="s">
        <v>179</v>
      </c>
      <c r="C60" s="95" t="s">
        <v>20</v>
      </c>
      <c r="D60" s="95" t="s">
        <v>21</v>
      </c>
      <c r="E60" s="95" t="s">
        <v>32</v>
      </c>
      <c r="F60" s="95" t="s">
        <v>17</v>
      </c>
      <c r="G60" s="95" t="s">
        <v>180</v>
      </c>
      <c r="H60" s="95" t="s">
        <v>181</v>
      </c>
      <c r="I60" s="95" t="s">
        <v>18</v>
      </c>
      <c r="J60" s="222"/>
      <c r="K60" s="224"/>
      <c r="L60" s="224"/>
      <c r="M60" s="224"/>
      <c r="N60" s="224"/>
      <c r="O60" s="225"/>
    </row>
    <row r="61" spans="1:15" s="180" customFormat="1" x14ac:dyDescent="0.25">
      <c r="A61" s="220">
        <v>10</v>
      </c>
      <c r="B61" s="220" t="s">
        <v>182</v>
      </c>
      <c r="C61" s="220" t="s">
        <v>183</v>
      </c>
      <c r="D61" s="272">
        <v>500</v>
      </c>
      <c r="E61" s="220" t="s">
        <v>184</v>
      </c>
      <c r="F61" s="220">
        <f>8</f>
        <v>8</v>
      </c>
      <c r="G61" s="220">
        <v>3000</v>
      </c>
      <c r="H61" s="220">
        <v>1</v>
      </c>
      <c r="I61" s="274">
        <f>D61*F61/G61*H61</f>
        <v>1.3333333333333333</v>
      </c>
      <c r="J61" s="222"/>
      <c r="K61" s="224"/>
      <c r="L61" s="224"/>
      <c r="M61" s="224"/>
      <c r="N61" s="224"/>
      <c r="O61" s="225"/>
    </row>
    <row r="62" spans="1:15" s="180" customFormat="1" x14ac:dyDescent="0.25">
      <c r="A62" s="244"/>
      <c r="B62" s="222"/>
      <c r="C62" s="222"/>
      <c r="D62" s="222"/>
      <c r="E62" s="222"/>
      <c r="F62" s="222"/>
      <c r="G62" s="222"/>
      <c r="H62" s="246" t="s">
        <v>18</v>
      </c>
      <c r="I62" s="245">
        <f>SUM(I61:I61)</f>
        <v>1.3333333333333333</v>
      </c>
      <c r="J62" s="222"/>
      <c r="K62" s="224"/>
      <c r="L62" s="224"/>
      <c r="M62" s="224"/>
      <c r="N62" s="224"/>
      <c r="O62" s="225"/>
    </row>
    <row r="63" spans="1:15" ht="15.75" thickBot="1" x14ac:dyDescent="0.3">
      <c r="A63" s="185"/>
      <c r="B63" s="186"/>
      <c r="C63" s="186"/>
      <c r="D63" s="186"/>
      <c r="E63" s="186"/>
      <c r="F63" s="186"/>
      <c r="G63" s="186"/>
      <c r="H63" s="186"/>
      <c r="I63" s="186"/>
      <c r="J63" s="186"/>
      <c r="K63" s="186"/>
      <c r="L63" s="186"/>
      <c r="M63" s="186"/>
      <c r="N63" s="186"/>
      <c r="O63" s="187"/>
    </row>
    <row r="64" spans="1:15" x14ac:dyDescent="0.25">
      <c r="A64" s="154"/>
      <c r="B64" s="154"/>
      <c r="C64" s="154"/>
      <c r="D64" s="154"/>
      <c r="E64" s="154"/>
      <c r="F64" s="154"/>
      <c r="G64" s="154"/>
      <c r="H64" s="154"/>
      <c r="I64" s="154"/>
      <c r="J64" s="154"/>
      <c r="K64" s="154"/>
      <c r="L64" s="154"/>
      <c r="M64" s="154"/>
      <c r="N64" s="154"/>
    </row>
  </sheetData>
  <hyperlinks>
    <hyperlink ref="E2" location="SU_A0400_BOM" display="Back to BOM" xr:uid="{00000000-0004-0000-4000-000000000000}"/>
    <hyperlink ref="B10" location="SU_04001" display="SU_04001" xr:uid="{00000000-0004-0000-4000-000001000000}"/>
    <hyperlink ref="B11:B13" location="BR_01001" display="BR_01001" xr:uid="{00000000-0004-0000-4000-000002000000}"/>
    <hyperlink ref="B14" location="SU_04005" display="SU_04005" xr:uid="{00000000-0004-0000-4000-000003000000}"/>
    <hyperlink ref="B16" location="SU_04007" display="SU_04007" xr:uid="{00000000-0004-0000-4000-000004000000}"/>
    <hyperlink ref="B11" location="SU_04002" display="SU_04002" xr:uid="{00000000-0004-0000-4000-000005000000}"/>
    <hyperlink ref="B12" location="SU_04003" display="SU_04003" xr:uid="{00000000-0004-0000-4000-000006000000}"/>
    <hyperlink ref="B13" location="SU_04004" display="SU_04004" xr:uid="{00000000-0004-0000-4000-000007000000}"/>
    <hyperlink ref="B15" location="SU_04006" display="SU_04006" xr:uid="{00000000-0004-0000-4000-000008000000}"/>
    <hyperlink ref="B17" location="SU_04008" display="SU_04008" xr:uid="{00000000-0004-0000-4000-000009000000}"/>
    <hyperlink ref="B18" location="SU_04009" display="SU_04009" xr:uid="{00000000-0004-0000-4000-00000A000000}"/>
    <hyperlink ref="B19" location="SU_04010" display="SU_04010" xr:uid="{00000000-0004-0000-4000-00000B000000}"/>
    <hyperlink ref="B20" location="SU_04011" display="SU_04011" xr:uid="{00000000-0004-0000-4000-00000C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1" firstPageNumber="0" fitToHeight="99" orientation="landscape" r:id="rId1"/>
  <headerFooter>
    <oddFooter>Page &amp;P</oddFooter>
  </headerFooter>
  <rowBreaks count="1" manualBreakCount="1">
    <brk id="63" max="16383" man="1"/>
  </rowBreaks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0-000000000000}">
  <sheetPr>
    <tabColor rgb="FFFFFF66"/>
    <pageSetUpPr fitToPage="1"/>
  </sheetPr>
  <dimension ref="A1:S24"/>
  <sheetViews>
    <sheetView zoomScale="106" zoomScaleNormal="106" zoomScalePageLayoutView="70" workbookViewId="0">
      <selection activeCell="E2" sqref="E2"/>
    </sheetView>
  </sheetViews>
  <sheetFormatPr baseColWidth="10" defaultColWidth="9.140625" defaultRowHeight="15" x14ac:dyDescent="0.25"/>
  <cols>
    <col min="1" max="1" width="9.140625" style="151"/>
    <col min="2" max="2" width="15.85546875" style="151" customWidth="1"/>
    <col min="3" max="3" width="24.5703125" style="151" customWidth="1"/>
    <col min="4" max="6" width="9.140625" style="151"/>
    <col min="7" max="7" width="11.5703125" style="151" customWidth="1"/>
    <col min="8" max="9" width="9.140625" style="151"/>
    <col min="10" max="10" width="12.5703125" style="151" customWidth="1"/>
    <col min="11" max="14" width="9.140625" style="151"/>
    <col min="15" max="15" width="3.140625" style="151" customWidth="1"/>
    <col min="16" max="17" width="9.140625" style="151"/>
    <col min="18" max="19" width="16.28515625" style="151" bestFit="1" customWidth="1"/>
    <col min="20" max="16384" width="9.140625" style="151"/>
  </cols>
  <sheetData>
    <row r="1" spans="1:19" x14ac:dyDescent="0.25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9" x14ac:dyDescent="0.25">
      <c r="A2" s="188" t="s">
        <v>0</v>
      </c>
      <c r="B2" s="153" t="s">
        <v>37</v>
      </c>
      <c r="C2" s="154"/>
      <c r="D2" s="154"/>
      <c r="E2" s="154"/>
      <c r="F2" s="154"/>
      <c r="G2" s="87" t="s">
        <v>62</v>
      </c>
      <c r="H2" s="154"/>
      <c r="I2" s="154"/>
      <c r="J2" s="189" t="s">
        <v>1</v>
      </c>
      <c r="K2" s="155">
        <v>81</v>
      </c>
      <c r="L2" s="154"/>
      <c r="M2" s="188" t="s">
        <v>16</v>
      </c>
      <c r="N2" s="74">
        <f>SU_04001_m+SU_04001_p</f>
        <v>8.9540000000000006</v>
      </c>
      <c r="O2" s="156"/>
    </row>
    <row r="3" spans="1:19" x14ac:dyDescent="0.25">
      <c r="A3" s="188" t="s">
        <v>3</v>
      </c>
      <c r="B3" s="153" t="str">
        <f>'SU A0400'!B3</f>
        <v>Suspension &amp; Shocks</v>
      </c>
      <c r="C3" s="154"/>
      <c r="D3" s="188" t="s">
        <v>6</v>
      </c>
      <c r="E3" s="275" t="s">
        <v>60</v>
      </c>
      <c r="F3" s="154"/>
      <c r="G3" s="154"/>
      <c r="H3" s="154"/>
      <c r="I3" s="154"/>
      <c r="J3" s="154"/>
      <c r="K3" s="154"/>
      <c r="L3" s="154"/>
      <c r="M3" s="188" t="s">
        <v>4</v>
      </c>
      <c r="N3" s="82">
        <v>1</v>
      </c>
      <c r="O3" s="156"/>
    </row>
    <row r="4" spans="1:19" x14ac:dyDescent="0.25">
      <c r="A4" s="188" t="s">
        <v>5</v>
      </c>
      <c r="B4" s="87" t="s">
        <v>142</v>
      </c>
      <c r="C4" s="154"/>
      <c r="D4" s="188" t="s">
        <v>8</v>
      </c>
      <c r="E4" s="154"/>
      <c r="F4" s="154"/>
      <c r="G4" s="154"/>
      <c r="H4" s="154"/>
      <c r="I4" s="154"/>
      <c r="J4" s="190" t="s">
        <v>6</v>
      </c>
      <c r="K4" s="154"/>
      <c r="L4" s="154"/>
      <c r="M4" s="154"/>
      <c r="N4" s="154"/>
      <c r="O4" s="156"/>
    </row>
    <row r="5" spans="1:19" x14ac:dyDescent="0.25">
      <c r="A5" s="188" t="s">
        <v>15</v>
      </c>
      <c r="B5" s="159" t="s">
        <v>144</v>
      </c>
      <c r="C5" s="154"/>
      <c r="D5" s="188" t="s">
        <v>12</v>
      </c>
      <c r="E5" s="154"/>
      <c r="F5" s="154"/>
      <c r="G5" s="154"/>
      <c r="H5" s="154"/>
      <c r="I5" s="154"/>
      <c r="J5" s="190" t="s">
        <v>8</v>
      </c>
      <c r="K5" s="154"/>
      <c r="L5" s="154"/>
      <c r="M5" s="188" t="s">
        <v>9</v>
      </c>
      <c r="N5" s="74">
        <f>N3*N2</f>
        <v>8.9540000000000006</v>
      </c>
      <c r="O5" s="156"/>
    </row>
    <row r="6" spans="1:19" x14ac:dyDescent="0.25">
      <c r="A6" s="188" t="s">
        <v>7</v>
      </c>
      <c r="B6" s="191" t="s">
        <v>244</v>
      </c>
      <c r="C6" s="154"/>
      <c r="D6" s="154"/>
      <c r="E6" s="154"/>
      <c r="F6" s="154"/>
      <c r="G6" s="154"/>
      <c r="H6" s="154"/>
      <c r="I6" s="154"/>
      <c r="J6" s="190" t="s">
        <v>12</v>
      </c>
      <c r="K6" s="154"/>
      <c r="L6" s="154"/>
      <c r="M6" s="154"/>
      <c r="N6" s="154"/>
      <c r="O6" s="156"/>
    </row>
    <row r="7" spans="1:19" x14ac:dyDescent="0.25">
      <c r="A7" s="188" t="s">
        <v>10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9" x14ac:dyDescent="0.25">
      <c r="A8" s="188" t="s">
        <v>13</v>
      </c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9" x14ac:dyDescent="0.25">
      <c r="A9" s="192"/>
      <c r="B9" s="193"/>
      <c r="C9" s="193"/>
      <c r="D9" s="193"/>
      <c r="E9" s="193"/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9" x14ac:dyDescent="0.25">
      <c r="A10" s="194" t="s">
        <v>14</v>
      </c>
      <c r="B10" s="195" t="s">
        <v>19</v>
      </c>
      <c r="C10" s="195" t="s">
        <v>20</v>
      </c>
      <c r="D10" s="195" t="s">
        <v>21</v>
      </c>
      <c r="E10" s="195" t="s">
        <v>22</v>
      </c>
      <c r="F10" s="196" t="s">
        <v>23</v>
      </c>
      <c r="G10" s="196" t="s">
        <v>24</v>
      </c>
      <c r="H10" s="196" t="s">
        <v>25</v>
      </c>
      <c r="I10" s="196" t="s">
        <v>26</v>
      </c>
      <c r="J10" s="196" t="s">
        <v>27</v>
      </c>
      <c r="K10" s="196" t="s">
        <v>28</v>
      </c>
      <c r="L10" s="196" t="s">
        <v>29</v>
      </c>
      <c r="M10" s="196" t="s">
        <v>17</v>
      </c>
      <c r="N10" s="196" t="s">
        <v>18</v>
      </c>
      <c r="O10" s="156"/>
    </row>
    <row r="11" spans="1:19" s="22" customFormat="1" ht="17.45" customHeight="1" x14ac:dyDescent="0.25">
      <c r="A11" s="500">
        <v>10</v>
      </c>
      <c r="B11" s="501" t="s">
        <v>200</v>
      </c>
      <c r="C11" s="500" t="s">
        <v>225</v>
      </c>
      <c r="D11" s="502">
        <v>4.2</v>
      </c>
      <c r="E11" s="503"/>
      <c r="F11" s="500"/>
      <c r="G11" s="500"/>
      <c r="H11" s="504"/>
      <c r="I11" s="312" t="s">
        <v>245</v>
      </c>
      <c r="J11" s="247">
        <f>65*42/1000000</f>
        <v>2.7299999999999998E-3</v>
      </c>
      <c r="K11" s="247">
        <v>1.6E-2</v>
      </c>
      <c r="L11" s="79">
        <v>2712</v>
      </c>
      <c r="M11" s="143">
        <v>1</v>
      </c>
      <c r="N11" s="277">
        <f>D11*M11</f>
        <v>4.2</v>
      </c>
      <c r="O11" s="66"/>
    </row>
    <row r="12" spans="1:19" x14ac:dyDescent="0.25">
      <c r="A12" s="175"/>
      <c r="B12" s="176"/>
      <c r="C12" s="176"/>
      <c r="D12" s="176"/>
      <c r="E12" s="176"/>
      <c r="F12" s="176"/>
      <c r="G12" s="176"/>
      <c r="H12" s="176"/>
      <c r="I12" s="176"/>
      <c r="J12" s="176"/>
      <c r="K12" s="176"/>
      <c r="L12" s="176"/>
      <c r="M12" s="201" t="s">
        <v>18</v>
      </c>
      <c r="N12" s="202">
        <f>SUM(N11)</f>
        <v>4.2</v>
      </c>
      <c r="O12" s="156"/>
    </row>
    <row r="13" spans="1:19" x14ac:dyDescent="0.25">
      <c r="A13" s="160"/>
      <c r="B13" s="154"/>
      <c r="C13" s="154"/>
      <c r="D13" s="154"/>
      <c r="E13" s="154"/>
      <c r="F13" s="154"/>
      <c r="G13" s="154"/>
      <c r="H13" s="154"/>
      <c r="I13" s="154"/>
      <c r="J13" s="154"/>
      <c r="K13" s="154"/>
      <c r="L13" s="154"/>
      <c r="M13" s="154"/>
      <c r="N13" s="154"/>
      <c r="O13" s="156"/>
      <c r="S13" s="203"/>
    </row>
    <row r="14" spans="1:19" x14ac:dyDescent="0.25">
      <c r="A14" s="204" t="s">
        <v>14</v>
      </c>
      <c r="B14" s="196" t="s">
        <v>31</v>
      </c>
      <c r="C14" s="196" t="s">
        <v>20</v>
      </c>
      <c r="D14" s="196" t="s">
        <v>21</v>
      </c>
      <c r="E14" s="196" t="s">
        <v>32</v>
      </c>
      <c r="F14" s="196" t="s">
        <v>17</v>
      </c>
      <c r="G14" s="196" t="s">
        <v>33</v>
      </c>
      <c r="H14" s="196" t="s">
        <v>34</v>
      </c>
      <c r="I14" s="196" t="s">
        <v>18</v>
      </c>
      <c r="J14" s="176"/>
      <c r="K14" s="176"/>
      <c r="L14" s="176"/>
      <c r="M14" s="176"/>
      <c r="N14" s="176"/>
      <c r="O14" s="156"/>
      <c r="R14" s="203"/>
    </row>
    <row r="15" spans="1:19" s="513" customFormat="1" ht="30.6" customHeight="1" x14ac:dyDescent="0.25">
      <c r="A15" s="505">
        <v>10</v>
      </c>
      <c r="B15" s="324" t="s">
        <v>39</v>
      </c>
      <c r="C15" s="506"/>
      <c r="D15" s="507">
        <v>1.3</v>
      </c>
      <c r="E15" s="324" t="s">
        <v>32</v>
      </c>
      <c r="F15" s="506">
        <v>1</v>
      </c>
      <c r="G15" s="506"/>
      <c r="H15" s="506"/>
      <c r="I15" s="508">
        <f t="shared" ref="I15:I22" si="0">IF(H15="",D15*F15,D15*F15*H15)</f>
        <v>1.3</v>
      </c>
      <c r="J15" s="511"/>
      <c r="K15" s="511"/>
      <c r="L15" s="511"/>
      <c r="M15" s="511"/>
      <c r="N15" s="511"/>
      <c r="O15" s="512"/>
    </row>
    <row r="16" spans="1:19" s="513" customFormat="1" ht="29.45" customHeight="1" x14ac:dyDescent="0.25">
      <c r="A16" s="310">
        <v>20</v>
      </c>
      <c r="B16" s="324" t="s">
        <v>92</v>
      </c>
      <c r="C16" s="509" t="s">
        <v>228</v>
      </c>
      <c r="D16" s="293">
        <v>0.04</v>
      </c>
      <c r="E16" s="310" t="s">
        <v>93</v>
      </c>
      <c r="F16" s="282">
        <v>27</v>
      </c>
      <c r="G16" s="324" t="s">
        <v>193</v>
      </c>
      <c r="H16" s="510">
        <v>1</v>
      </c>
      <c r="I16" s="294">
        <f t="shared" si="0"/>
        <v>1.08</v>
      </c>
      <c r="J16" s="514"/>
      <c r="K16" s="514"/>
      <c r="L16" s="514"/>
      <c r="M16" s="514"/>
      <c r="N16" s="514"/>
      <c r="O16" s="515"/>
    </row>
    <row r="17" spans="1:15" s="513" customFormat="1" ht="16.149999999999999" customHeight="1" x14ac:dyDescent="0.25">
      <c r="A17" s="505">
        <v>30</v>
      </c>
      <c r="B17" s="324" t="s">
        <v>91</v>
      </c>
      <c r="C17" s="506"/>
      <c r="D17" s="507">
        <v>0.65</v>
      </c>
      <c r="E17" s="324" t="s">
        <v>32</v>
      </c>
      <c r="F17" s="506">
        <v>1</v>
      </c>
      <c r="G17" s="506"/>
      <c r="H17" s="506"/>
      <c r="I17" s="508">
        <f t="shared" si="0"/>
        <v>0.65</v>
      </c>
      <c r="J17" s="516"/>
      <c r="K17" s="516"/>
      <c r="L17" s="516"/>
      <c r="M17" s="516"/>
      <c r="N17" s="516"/>
      <c r="O17" s="517"/>
    </row>
    <row r="18" spans="1:15" s="513" customFormat="1" ht="27" customHeight="1" x14ac:dyDescent="0.25">
      <c r="A18" s="310">
        <v>40</v>
      </c>
      <c r="B18" s="324" t="s">
        <v>92</v>
      </c>
      <c r="C18" s="509" t="s">
        <v>186</v>
      </c>
      <c r="D18" s="293">
        <v>0.04</v>
      </c>
      <c r="E18" s="310" t="s">
        <v>93</v>
      </c>
      <c r="F18" s="282">
        <v>2.2999999999999998</v>
      </c>
      <c r="G18" s="324" t="s">
        <v>193</v>
      </c>
      <c r="H18" s="510">
        <v>1</v>
      </c>
      <c r="I18" s="294">
        <f t="shared" si="0"/>
        <v>9.1999999999999998E-2</v>
      </c>
      <c r="J18" s="514"/>
      <c r="K18" s="514"/>
      <c r="L18" s="514"/>
      <c r="M18" s="514"/>
      <c r="N18" s="514"/>
      <c r="O18" s="515"/>
    </row>
    <row r="19" spans="1:15" s="513" customFormat="1" ht="15.6" customHeight="1" x14ac:dyDescent="0.25">
      <c r="A19" s="505">
        <v>50</v>
      </c>
      <c r="B19" s="324" t="s">
        <v>91</v>
      </c>
      <c r="C19" s="506"/>
      <c r="D19" s="507">
        <v>0.65</v>
      </c>
      <c r="E19" s="324" t="s">
        <v>32</v>
      </c>
      <c r="F19" s="506">
        <v>1</v>
      </c>
      <c r="G19" s="506"/>
      <c r="H19" s="506"/>
      <c r="I19" s="508">
        <f t="shared" si="0"/>
        <v>0.65</v>
      </c>
      <c r="J19" s="514"/>
      <c r="K19" s="514"/>
      <c r="L19" s="514"/>
      <c r="M19" s="514"/>
      <c r="N19" s="514"/>
      <c r="O19" s="515"/>
    </row>
    <row r="20" spans="1:15" s="513" customFormat="1" ht="28.15" customHeight="1" x14ac:dyDescent="0.25">
      <c r="A20" s="310">
        <v>60</v>
      </c>
      <c r="B20" s="324" t="s">
        <v>92</v>
      </c>
      <c r="C20" s="509" t="s">
        <v>187</v>
      </c>
      <c r="D20" s="293">
        <v>0.04</v>
      </c>
      <c r="E20" s="310" t="s">
        <v>93</v>
      </c>
      <c r="F20" s="282">
        <v>2.2999999999999998</v>
      </c>
      <c r="G20" s="324" t="s">
        <v>193</v>
      </c>
      <c r="H20" s="510">
        <v>1</v>
      </c>
      <c r="I20" s="294">
        <f t="shared" si="0"/>
        <v>9.1999999999999998E-2</v>
      </c>
      <c r="J20" s="514"/>
      <c r="K20" s="514"/>
      <c r="L20" s="514"/>
      <c r="M20" s="514"/>
      <c r="N20" s="514"/>
      <c r="O20" s="515"/>
    </row>
    <row r="21" spans="1:15" s="513" customFormat="1" ht="28.9" customHeight="1" x14ac:dyDescent="0.25">
      <c r="A21" s="505">
        <v>70</v>
      </c>
      <c r="B21" s="324" t="s">
        <v>91</v>
      </c>
      <c r="C21" s="506"/>
      <c r="D21" s="507">
        <v>0.65</v>
      </c>
      <c r="E21" s="324" t="s">
        <v>32</v>
      </c>
      <c r="F21" s="506">
        <v>1</v>
      </c>
      <c r="G21" s="506"/>
      <c r="H21" s="506"/>
      <c r="I21" s="508">
        <f t="shared" si="0"/>
        <v>0.65</v>
      </c>
      <c r="J21" s="518"/>
      <c r="K21" s="518"/>
      <c r="L21" s="518"/>
      <c r="M21" s="518"/>
      <c r="N21" s="518"/>
      <c r="O21" s="515"/>
    </row>
    <row r="22" spans="1:15" s="513" customFormat="1" ht="27.6" customHeight="1" x14ac:dyDescent="0.25">
      <c r="A22" s="310">
        <v>80</v>
      </c>
      <c r="B22" s="324" t="s">
        <v>92</v>
      </c>
      <c r="C22" s="509" t="s">
        <v>226</v>
      </c>
      <c r="D22" s="293">
        <v>0.04</v>
      </c>
      <c r="E22" s="310" t="s">
        <v>93</v>
      </c>
      <c r="F22" s="282">
        <v>6</v>
      </c>
      <c r="G22" s="324" t="s">
        <v>193</v>
      </c>
      <c r="H22" s="510">
        <v>1</v>
      </c>
      <c r="I22" s="294">
        <f t="shared" si="0"/>
        <v>0.24</v>
      </c>
      <c r="J22" s="519"/>
      <c r="K22" s="514"/>
      <c r="L22" s="514"/>
      <c r="M22" s="514"/>
      <c r="N22" s="514"/>
      <c r="O22" s="515"/>
    </row>
    <row r="23" spans="1:15" x14ac:dyDescent="0.25">
      <c r="A23" s="175"/>
      <c r="B23" s="176"/>
      <c r="C23" s="176"/>
      <c r="D23" s="176"/>
      <c r="E23" s="176"/>
      <c r="F23" s="176"/>
      <c r="G23" s="176"/>
      <c r="H23" s="208" t="s">
        <v>18</v>
      </c>
      <c r="I23" s="202">
        <f>SUM(I15:I22)</f>
        <v>4.7540000000000004</v>
      </c>
      <c r="J23" s="176"/>
      <c r="K23" s="176"/>
      <c r="L23" s="176"/>
      <c r="M23" s="176"/>
      <c r="N23" s="176"/>
      <c r="O23" s="156"/>
    </row>
    <row r="24" spans="1:15" ht="15.75" thickBot="1" x14ac:dyDescent="0.3">
      <c r="A24" s="185"/>
      <c r="B24" s="186"/>
      <c r="C24" s="186"/>
      <c r="D24" s="186"/>
      <c r="E24" s="186"/>
      <c r="F24" s="186"/>
      <c r="G24" s="186"/>
      <c r="H24" s="186"/>
      <c r="I24" s="186"/>
      <c r="J24" s="186"/>
      <c r="K24" s="186"/>
      <c r="L24" s="186"/>
      <c r="M24" s="186"/>
      <c r="N24" s="186"/>
      <c r="O24" s="187"/>
    </row>
  </sheetData>
  <hyperlinks>
    <hyperlink ref="B4" location="SU_A0400" display="Lower Back A-arm" xr:uid="{00000000-0004-0000-4100-000000000000}"/>
    <hyperlink ref="E3" location="dSU_04001" display="Drawing" xr:uid="{00000000-0004-0000-4100-000001000000}"/>
    <hyperlink ref="G2" location="SU_A0400_BOM" display="Back to BOM" xr:uid="{00000000-0004-0000-41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8" firstPageNumber="0" fitToHeight="99" orientation="landscape" r:id="rId1"/>
  <headerFooter>
    <oddFooter>Page &amp;P</oddFooter>
  </headerFooter>
  <rowBreaks count="2" manualBreakCount="2">
    <brk id="24" max="16383" man="1"/>
    <brk id="58" max="16383" man="1"/>
  </rowBreaks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0-000000000000}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4" style="151" customWidth="1"/>
    <col min="2" max="16384" width="11.42578125" style="151"/>
  </cols>
  <sheetData>
    <row r="1" spans="1:2" x14ac:dyDescent="0.25">
      <c r="A1" s="151" t="s">
        <v>99</v>
      </c>
      <c r="B1" s="275" t="s">
        <v>145</v>
      </c>
    </row>
  </sheetData>
  <hyperlinks>
    <hyperlink ref="B1" location="SU_04001" display="SU_04001" xr:uid="{00000000-0004-0000-42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0-000000000000}">
  <sheetPr>
    <tabColor rgb="FFFFFF66"/>
    <pageSetUpPr fitToPage="1"/>
  </sheetPr>
  <dimension ref="A1:S22"/>
  <sheetViews>
    <sheetView zoomScale="106" zoomScaleNormal="106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1.42578125" style="151"/>
    <col min="2" max="2" width="23.140625" style="151" customWidth="1"/>
    <col min="3" max="6" width="11.42578125" style="151"/>
    <col min="7" max="7" width="13.28515625" style="151" customWidth="1"/>
    <col min="8" max="8" width="11.42578125" style="151"/>
    <col min="9" max="9" width="21.42578125" style="151" customWidth="1"/>
    <col min="10" max="17" width="11.42578125" style="151"/>
    <col min="18" max="18" width="13.85546875" style="151" bestFit="1" customWidth="1"/>
    <col min="19" max="16384" width="11.42578125" style="151"/>
  </cols>
  <sheetData>
    <row r="1" spans="1:19" x14ac:dyDescent="0.25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9" x14ac:dyDescent="0.25">
      <c r="A2" s="188" t="s">
        <v>0</v>
      </c>
      <c r="B2" s="153" t="s">
        <v>37</v>
      </c>
      <c r="C2" s="154"/>
      <c r="D2" s="154"/>
      <c r="E2" s="154"/>
      <c r="F2" s="154"/>
      <c r="G2" s="87" t="s">
        <v>62</v>
      </c>
      <c r="H2" s="154"/>
      <c r="I2" s="154"/>
      <c r="J2" s="189" t="s">
        <v>1</v>
      </c>
      <c r="K2" s="155">
        <v>81</v>
      </c>
      <c r="L2" s="154"/>
      <c r="M2" s="188" t="s">
        <v>16</v>
      </c>
      <c r="N2" s="74">
        <f>N12+I21</f>
        <v>1.8728805440000003</v>
      </c>
      <c r="O2" s="156"/>
    </row>
    <row r="3" spans="1:19" x14ac:dyDescent="0.25">
      <c r="A3" s="188" t="s">
        <v>3</v>
      </c>
      <c r="B3" s="153" t="str">
        <f>'SU A0400'!B3</f>
        <v>Suspension &amp; Shocks</v>
      </c>
      <c r="C3" s="154"/>
      <c r="D3" s="188" t="s">
        <v>6</v>
      </c>
      <c r="E3" s="275" t="s">
        <v>60</v>
      </c>
      <c r="F3" s="154"/>
      <c r="G3" s="154"/>
      <c r="H3" s="154"/>
      <c r="I3" s="154"/>
      <c r="J3" s="154"/>
      <c r="K3" s="154"/>
      <c r="L3" s="154"/>
      <c r="M3" s="188" t="s">
        <v>4</v>
      </c>
      <c r="N3" s="82">
        <v>2</v>
      </c>
      <c r="O3" s="156"/>
    </row>
    <row r="4" spans="1:19" x14ac:dyDescent="0.25">
      <c r="A4" s="188" t="s">
        <v>5</v>
      </c>
      <c r="B4" s="87" t="s">
        <v>142</v>
      </c>
      <c r="C4" s="154"/>
      <c r="D4" s="188" t="s">
        <v>8</v>
      </c>
      <c r="E4" s="154"/>
      <c r="F4" s="154"/>
      <c r="G4" s="154"/>
      <c r="H4" s="154"/>
      <c r="I4" s="154"/>
      <c r="J4" s="190" t="s">
        <v>6</v>
      </c>
      <c r="K4" s="154"/>
      <c r="L4" s="154"/>
      <c r="M4" s="154"/>
      <c r="N4" s="154"/>
      <c r="O4" s="156"/>
    </row>
    <row r="5" spans="1:19" x14ac:dyDescent="0.25">
      <c r="A5" s="188" t="s">
        <v>15</v>
      </c>
      <c r="B5" s="73" t="s">
        <v>90</v>
      </c>
      <c r="C5" s="154"/>
      <c r="D5" s="188" t="s">
        <v>12</v>
      </c>
      <c r="E5" s="154"/>
      <c r="F5" s="154"/>
      <c r="G5" s="154"/>
      <c r="H5" s="154"/>
      <c r="I5" s="154"/>
      <c r="J5" s="190" t="s">
        <v>8</v>
      </c>
      <c r="K5" s="154"/>
      <c r="L5" s="154"/>
      <c r="M5" s="188" t="s">
        <v>9</v>
      </c>
      <c r="N5" s="74">
        <f>N3*N2</f>
        <v>3.7457610880000005</v>
      </c>
      <c r="O5" s="156"/>
    </row>
    <row r="6" spans="1:19" x14ac:dyDescent="0.25">
      <c r="A6" s="188" t="s">
        <v>7</v>
      </c>
      <c r="B6" s="191" t="s">
        <v>146</v>
      </c>
      <c r="C6" s="154"/>
      <c r="D6" s="154"/>
      <c r="E6" s="154"/>
      <c r="F6" s="154"/>
      <c r="G6" s="154"/>
      <c r="H6" s="154"/>
      <c r="I6" s="154"/>
      <c r="J6" s="190" t="s">
        <v>12</v>
      </c>
      <c r="K6" s="154"/>
      <c r="L6" s="154"/>
      <c r="M6" s="154"/>
      <c r="N6" s="154"/>
      <c r="O6" s="156"/>
    </row>
    <row r="7" spans="1:19" x14ac:dyDescent="0.25">
      <c r="A7" s="188" t="s">
        <v>10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9" x14ac:dyDescent="0.25">
      <c r="A8" s="188" t="s">
        <v>13</v>
      </c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9" x14ac:dyDescent="0.25">
      <c r="A9" s="192"/>
      <c r="B9" s="193"/>
      <c r="C9" s="193"/>
      <c r="D9" s="193"/>
      <c r="E9" s="193"/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9" customFormat="1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9" customFormat="1" x14ac:dyDescent="0.25">
      <c r="A11" s="85">
        <v>10</v>
      </c>
      <c r="B11" s="26" t="s">
        <v>66</v>
      </c>
      <c r="C11" s="20" t="s">
        <v>38</v>
      </c>
      <c r="D11" s="277">
        <f>4.2</f>
        <v>4.2</v>
      </c>
      <c r="E11" s="257">
        <f>J11*K11*L11</f>
        <v>0.20437632</v>
      </c>
      <c r="F11" s="20" t="s">
        <v>94</v>
      </c>
      <c r="G11" s="20"/>
      <c r="H11" s="278"/>
      <c r="I11" s="21" t="s">
        <v>95</v>
      </c>
      <c r="J11" s="247">
        <f>3.14*20*20/1000000</f>
        <v>1.256E-3</v>
      </c>
      <c r="K11" s="256">
        <v>0.06</v>
      </c>
      <c r="L11" s="79">
        <v>2712</v>
      </c>
      <c r="M11" s="23">
        <v>1</v>
      </c>
      <c r="N11" s="277">
        <f>D11*E11*M11</f>
        <v>0.85838054400000008</v>
      </c>
      <c r="O11" s="66"/>
      <c r="P11" s="22"/>
      <c r="Q11" s="22"/>
      <c r="R11" s="22"/>
      <c r="S11" s="22"/>
    </row>
    <row r="12" spans="1:19" x14ac:dyDescent="0.25">
      <c r="A12" s="175"/>
      <c r="B12" s="176"/>
      <c r="C12" s="176"/>
      <c r="D12" s="176"/>
      <c r="E12" s="176"/>
      <c r="F12" s="176"/>
      <c r="G12" s="176"/>
      <c r="H12" s="176"/>
      <c r="I12" s="176"/>
      <c r="J12" s="176"/>
      <c r="K12" s="176"/>
      <c r="L12" s="176"/>
      <c r="M12" s="201" t="s">
        <v>18</v>
      </c>
      <c r="N12" s="202">
        <f>SUM(N11:N11)</f>
        <v>0.85838054400000008</v>
      </c>
      <c r="O12" s="156"/>
    </row>
    <row r="13" spans="1:19" x14ac:dyDescent="0.25">
      <c r="A13" s="160"/>
      <c r="B13" s="154"/>
      <c r="C13" s="154"/>
      <c r="D13" s="154"/>
      <c r="E13" s="154"/>
      <c r="F13" s="154"/>
      <c r="G13" s="154"/>
      <c r="H13" s="154"/>
      <c r="I13" s="154"/>
      <c r="J13" s="154"/>
      <c r="K13" s="154"/>
      <c r="L13" s="154"/>
      <c r="M13" s="154"/>
      <c r="N13" s="154"/>
      <c r="O13" s="156"/>
      <c r="R13" s="203">
        <f>J11*K11/4</f>
        <v>1.8839999999999999E-5</v>
      </c>
      <c r="S13" s="203"/>
    </row>
    <row r="14" spans="1:19" x14ac:dyDescent="0.25">
      <c r="A14" s="204" t="s">
        <v>14</v>
      </c>
      <c r="B14" s="196" t="s">
        <v>31</v>
      </c>
      <c r="C14" s="196" t="s">
        <v>20</v>
      </c>
      <c r="D14" s="196" t="s">
        <v>21</v>
      </c>
      <c r="E14" s="196" t="s">
        <v>32</v>
      </c>
      <c r="F14" s="196" t="s">
        <v>17</v>
      </c>
      <c r="G14" s="196" t="s">
        <v>33</v>
      </c>
      <c r="H14" s="196" t="s">
        <v>34</v>
      </c>
      <c r="I14" s="196" t="s">
        <v>18</v>
      </c>
      <c r="J14" s="176"/>
      <c r="K14" s="176"/>
      <c r="L14" s="176"/>
      <c r="M14" s="176"/>
      <c r="N14" s="176"/>
      <c r="O14" s="156"/>
      <c r="R14" s="203">
        <f>R13/2</f>
        <v>9.4199999999999996E-6</v>
      </c>
    </row>
    <row r="15" spans="1:19" customFormat="1" ht="26.45" customHeight="1" x14ac:dyDescent="0.25">
      <c r="A15" s="326">
        <v>10</v>
      </c>
      <c r="B15" s="327" t="s">
        <v>39</v>
      </c>
      <c r="C15" s="326"/>
      <c r="D15" s="328">
        <v>1.3</v>
      </c>
      <c r="E15" s="327" t="s">
        <v>32</v>
      </c>
      <c r="F15" s="326">
        <v>1</v>
      </c>
      <c r="G15" s="326" t="s">
        <v>553</v>
      </c>
      <c r="H15" s="326">
        <f>1/16</f>
        <v>6.25E-2</v>
      </c>
      <c r="I15" s="329">
        <f t="shared" ref="I15:I20" si="0">IF(H15="",D15*F15,D15*F15*H15)</f>
        <v>8.1250000000000003E-2</v>
      </c>
      <c r="J15" s="58"/>
      <c r="K15" s="58"/>
      <c r="L15" s="58"/>
      <c r="M15" s="58"/>
      <c r="N15" s="58"/>
      <c r="O15" s="68"/>
      <c r="P15" s="25"/>
      <c r="Q15" s="25"/>
      <c r="R15" s="133"/>
      <c r="S15" s="25"/>
    </row>
    <row r="16" spans="1:19" customFormat="1" ht="28.15" customHeight="1" x14ac:dyDescent="0.25">
      <c r="A16" s="330">
        <v>20</v>
      </c>
      <c r="B16" s="327" t="s">
        <v>92</v>
      </c>
      <c r="C16" s="331" t="s">
        <v>192</v>
      </c>
      <c r="D16" s="332">
        <v>0.04</v>
      </c>
      <c r="E16" s="330" t="s">
        <v>93</v>
      </c>
      <c r="F16" s="333">
        <v>17</v>
      </c>
      <c r="G16" s="327" t="s">
        <v>247</v>
      </c>
      <c r="H16" s="231">
        <v>1</v>
      </c>
      <c r="I16" s="334">
        <f t="shared" si="0"/>
        <v>0.68</v>
      </c>
      <c r="J16" s="56"/>
      <c r="K16" s="56"/>
      <c r="L16" s="56"/>
      <c r="M16" s="56"/>
      <c r="N16" s="56"/>
      <c r="O16" s="62"/>
      <c r="R16" s="131"/>
    </row>
    <row r="17" spans="1:19" customFormat="1" ht="25.9" customHeight="1" x14ac:dyDescent="0.25">
      <c r="A17" s="326">
        <v>30</v>
      </c>
      <c r="B17" s="327" t="s">
        <v>91</v>
      </c>
      <c r="C17" s="326"/>
      <c r="D17" s="328">
        <v>0.65</v>
      </c>
      <c r="E17" s="327" t="s">
        <v>32</v>
      </c>
      <c r="F17" s="326">
        <v>1</v>
      </c>
      <c r="G17" s="326" t="s">
        <v>553</v>
      </c>
      <c r="H17" s="326">
        <f>1/16</f>
        <v>6.25E-2</v>
      </c>
      <c r="I17" s="329">
        <f t="shared" si="0"/>
        <v>4.0625000000000001E-2</v>
      </c>
      <c r="J17" s="57"/>
      <c r="K17" s="57"/>
      <c r="L17" s="57"/>
      <c r="M17" s="57"/>
      <c r="N17" s="57"/>
      <c r="O17" s="65"/>
      <c r="P17" s="17"/>
      <c r="Q17" s="17"/>
      <c r="R17" s="132"/>
      <c r="S17" s="17"/>
    </row>
    <row r="18" spans="1:19" customFormat="1" ht="15.6" customHeight="1" x14ac:dyDescent="0.25">
      <c r="A18" s="330">
        <v>40</v>
      </c>
      <c r="B18" s="327" t="s">
        <v>92</v>
      </c>
      <c r="C18" s="331" t="s">
        <v>194</v>
      </c>
      <c r="D18" s="332">
        <v>0.04</v>
      </c>
      <c r="E18" s="330" t="s">
        <v>93</v>
      </c>
      <c r="F18" s="333">
        <v>2</v>
      </c>
      <c r="G18" s="327" t="s">
        <v>193</v>
      </c>
      <c r="H18" s="231">
        <v>1</v>
      </c>
      <c r="I18" s="334">
        <f t="shared" si="0"/>
        <v>0.08</v>
      </c>
      <c r="J18" s="56"/>
      <c r="K18" s="56"/>
      <c r="L18" s="56"/>
      <c r="M18" s="56"/>
      <c r="N18" s="56"/>
      <c r="O18" s="62"/>
      <c r="R18" s="131"/>
    </row>
    <row r="19" spans="1:19" customFormat="1" ht="30" x14ac:dyDescent="0.25">
      <c r="A19" s="326">
        <v>50</v>
      </c>
      <c r="B19" s="327" t="s">
        <v>91</v>
      </c>
      <c r="C19" s="326"/>
      <c r="D19" s="328">
        <v>0.65</v>
      </c>
      <c r="E19" s="327" t="s">
        <v>32</v>
      </c>
      <c r="F19" s="326">
        <v>1</v>
      </c>
      <c r="G19" s="326" t="s">
        <v>553</v>
      </c>
      <c r="H19" s="326">
        <f>1/16</f>
        <v>6.25E-2</v>
      </c>
      <c r="I19" s="329">
        <f t="shared" si="0"/>
        <v>4.0625000000000001E-2</v>
      </c>
      <c r="J19" s="56"/>
      <c r="K19" s="56"/>
      <c r="L19" s="56"/>
      <c r="M19" s="56"/>
      <c r="N19" s="56"/>
      <c r="O19" s="62"/>
      <c r="R19" s="131"/>
    </row>
    <row r="20" spans="1:19" customFormat="1" ht="14.45" customHeight="1" x14ac:dyDescent="0.25">
      <c r="A20" s="330">
        <v>60</v>
      </c>
      <c r="B20" s="327" t="s">
        <v>92</v>
      </c>
      <c r="C20" s="331" t="s">
        <v>195</v>
      </c>
      <c r="D20" s="332">
        <v>0.04</v>
      </c>
      <c r="E20" s="330" t="s">
        <v>93</v>
      </c>
      <c r="F20" s="333">
        <v>2.2999999999999998</v>
      </c>
      <c r="G20" s="327" t="s">
        <v>246</v>
      </c>
      <c r="H20" s="231">
        <v>1</v>
      </c>
      <c r="I20" s="334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25">
      <c r="A21" s="175"/>
      <c r="B21" s="176"/>
      <c r="C21" s="176"/>
      <c r="D21" s="176"/>
      <c r="E21" s="176"/>
      <c r="F21" s="176"/>
      <c r="G21" s="176"/>
      <c r="H21" s="208" t="s">
        <v>18</v>
      </c>
      <c r="I21" s="202">
        <f>SUM(I15:I20)</f>
        <v>1.0145000000000002</v>
      </c>
      <c r="J21" s="176"/>
      <c r="K21" s="176"/>
      <c r="L21" s="176"/>
      <c r="M21" s="176"/>
      <c r="N21" s="176"/>
      <c r="O21" s="156"/>
    </row>
    <row r="22" spans="1:19" ht="15.75" thickBot="1" x14ac:dyDescent="0.3">
      <c r="A22" s="185"/>
      <c r="B22" s="186"/>
      <c r="C22" s="186"/>
      <c r="D22" s="186"/>
      <c r="E22" s="186"/>
      <c r="F22" s="186"/>
      <c r="G22" s="186"/>
      <c r="H22" s="186"/>
      <c r="I22" s="186"/>
      <c r="J22" s="186"/>
      <c r="K22" s="186"/>
      <c r="L22" s="186"/>
      <c r="M22" s="186"/>
      <c r="N22" s="186"/>
      <c r="O22" s="187"/>
    </row>
  </sheetData>
  <hyperlinks>
    <hyperlink ref="E3" location="dSU_04002" display="Drawing" xr:uid="{00000000-0004-0000-4300-000000000000}"/>
    <hyperlink ref="G2" location="SU_A0400_BOM" display="Back to BOM" xr:uid="{00000000-0004-0000-4300-000001000000}"/>
    <hyperlink ref="B4" location="SU_A0400" display="Lower Back A-arm" xr:uid="{00000000-0004-0000-43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1" fitToHeight="99" orientation="landscape" r:id="rId1"/>
  <headerFooter>
    <oddFooter>Page &amp;P</oddFooter>
  </headerFooter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0-000000000000}">
  <sheetPr>
    <tabColor rgb="FFFFFF66"/>
    <pageSetUpPr fitToPage="1"/>
  </sheetPr>
  <dimension ref="A1:B6"/>
  <sheetViews>
    <sheetView zoomScale="106" zoomScaleNormal="106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8.85546875" style="151" customWidth="1"/>
    <col min="2" max="16384" width="11.42578125" style="151"/>
  </cols>
  <sheetData>
    <row r="1" spans="1:2" x14ac:dyDescent="0.25">
      <c r="A1" s="151" t="s">
        <v>99</v>
      </c>
      <c r="B1" s="275" t="s">
        <v>146</v>
      </c>
    </row>
    <row r="4" spans="1:2" x14ac:dyDescent="0.25">
      <c r="B4" s="151" t="s">
        <v>105</v>
      </c>
    </row>
    <row r="5" spans="1:2" x14ac:dyDescent="0.25">
      <c r="B5" s="151" t="s">
        <v>106</v>
      </c>
    </row>
    <row r="6" spans="1:2" x14ac:dyDescent="0.25">
      <c r="B6" s="213"/>
    </row>
  </sheetData>
  <hyperlinks>
    <hyperlink ref="B1" location="SU_04002" display="SU_04002" xr:uid="{00000000-0004-0000-44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91" fitToHeight="99" orientation="landscape" r:id="rId1"/>
  <headerFooter>
    <oddFooter>Page &amp;P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FF66"/>
    <pageSetUpPr fitToPage="1"/>
  </sheetPr>
  <dimension ref="A1:O17"/>
  <sheetViews>
    <sheetView zoomScale="85" zoomScaleNormal="85" zoomScalePageLayoutView="70" workbookViewId="0">
      <selection activeCell="E2" sqref="E2"/>
    </sheetView>
  </sheetViews>
  <sheetFormatPr baseColWidth="10" defaultRowHeight="15" x14ac:dyDescent="0.25"/>
  <cols>
    <col min="2" max="2" width="19.42578125" customWidth="1"/>
    <col min="3" max="3" width="33" customWidth="1"/>
    <col min="5" max="5" width="14.7109375" customWidth="1"/>
  </cols>
  <sheetData>
    <row r="1" spans="1:15" x14ac:dyDescent="0.25">
      <c r="A1" s="335"/>
      <c r="B1" s="336"/>
      <c r="C1" s="336"/>
      <c r="D1" s="336"/>
      <c r="E1" s="336"/>
      <c r="F1" s="336"/>
      <c r="G1" s="336"/>
      <c r="H1" s="336"/>
      <c r="I1" s="336"/>
      <c r="J1" s="336"/>
      <c r="K1" s="336"/>
      <c r="L1" s="336"/>
      <c r="M1" s="336"/>
      <c r="N1" s="336"/>
      <c r="O1" s="337"/>
    </row>
    <row r="2" spans="1:15" x14ac:dyDescent="0.25">
      <c r="A2" s="338" t="s">
        <v>0</v>
      </c>
      <c r="B2" s="339" t="s">
        <v>37</v>
      </c>
      <c r="C2" s="340"/>
      <c r="D2" s="340"/>
      <c r="E2" s="340"/>
      <c r="F2" s="340"/>
      <c r="G2" s="341" t="s">
        <v>62</v>
      </c>
      <c r="H2" s="340"/>
      <c r="I2" s="340"/>
      <c r="J2" s="342" t="s">
        <v>1</v>
      </c>
      <c r="K2" s="343">
        <v>81</v>
      </c>
      <c r="L2" s="340"/>
      <c r="M2" s="338" t="s">
        <v>16</v>
      </c>
      <c r="N2" s="344">
        <f>N12+I16</f>
        <v>8.8765790399999975</v>
      </c>
      <c r="O2" s="345"/>
    </row>
    <row r="3" spans="1:15" x14ac:dyDescent="0.25">
      <c r="A3" s="338" t="s">
        <v>3</v>
      </c>
      <c r="B3" s="339" t="str">
        <f>'SU A0100'!B3</f>
        <v>Suspension &amp; Shocks</v>
      </c>
      <c r="C3" s="340"/>
      <c r="D3" s="338" t="s">
        <v>6</v>
      </c>
      <c r="E3" s="346" t="s">
        <v>60</v>
      </c>
      <c r="F3" s="340"/>
      <c r="G3" s="340"/>
      <c r="H3" s="340"/>
      <c r="I3" s="340"/>
      <c r="J3" s="340"/>
      <c r="K3" s="340"/>
      <c r="L3" s="340"/>
      <c r="M3" s="338" t="s">
        <v>4</v>
      </c>
      <c r="N3" s="347">
        <v>1</v>
      </c>
      <c r="O3" s="345"/>
    </row>
    <row r="4" spans="1:15" x14ac:dyDescent="0.25">
      <c r="A4" s="338" t="s">
        <v>5</v>
      </c>
      <c r="B4" s="341" t="str">
        <f>'SU A0100'!B4</f>
        <v>Upper Front A-arm</v>
      </c>
      <c r="C4" s="340"/>
      <c r="D4" s="338" t="s">
        <v>8</v>
      </c>
      <c r="E4" s="340"/>
      <c r="F4" s="340"/>
      <c r="G4" s="340"/>
      <c r="H4" s="340"/>
      <c r="I4" s="340"/>
      <c r="J4" s="348" t="s">
        <v>6</v>
      </c>
      <c r="K4" s="340"/>
      <c r="L4" s="340"/>
      <c r="M4" s="340"/>
      <c r="N4" s="340"/>
      <c r="O4" s="345"/>
    </row>
    <row r="5" spans="1:15" x14ac:dyDescent="0.25">
      <c r="A5" s="338" t="s">
        <v>15</v>
      </c>
      <c r="B5" s="349" t="s">
        <v>87</v>
      </c>
      <c r="C5" s="340"/>
      <c r="D5" s="338" t="s">
        <v>12</v>
      </c>
      <c r="E5" s="340"/>
      <c r="F5" s="340"/>
      <c r="G5" s="340"/>
      <c r="H5" s="340"/>
      <c r="I5" s="340"/>
      <c r="J5" s="348" t="s">
        <v>8</v>
      </c>
      <c r="K5" s="340"/>
      <c r="L5" s="340"/>
      <c r="M5" s="338" t="s">
        <v>9</v>
      </c>
      <c r="N5" s="344">
        <f>N3*N2</f>
        <v>8.8765790399999975</v>
      </c>
      <c r="O5" s="345"/>
    </row>
    <row r="6" spans="1:15" x14ac:dyDescent="0.25">
      <c r="A6" s="338" t="s">
        <v>7</v>
      </c>
      <c r="B6" s="350" t="s">
        <v>104</v>
      </c>
      <c r="C6" s="340"/>
      <c r="D6" s="340"/>
      <c r="E6" s="340"/>
      <c r="F6" s="340"/>
      <c r="G6" s="340"/>
      <c r="H6" s="340"/>
      <c r="I6" s="340"/>
      <c r="J6" s="348" t="s">
        <v>12</v>
      </c>
      <c r="K6" s="340"/>
      <c r="L6" s="340"/>
      <c r="M6" s="340"/>
      <c r="N6" s="340"/>
      <c r="O6" s="345"/>
    </row>
    <row r="7" spans="1:15" x14ac:dyDescent="0.25">
      <c r="A7" s="338" t="s">
        <v>10</v>
      </c>
      <c r="B7" s="339" t="s">
        <v>11</v>
      </c>
      <c r="C7" s="340"/>
      <c r="D7" s="340"/>
      <c r="E7" s="340"/>
      <c r="F7" s="340"/>
      <c r="G7" s="340"/>
      <c r="H7" s="340"/>
      <c r="I7" s="340"/>
      <c r="J7" s="340"/>
      <c r="K7" s="340"/>
      <c r="L7" s="340"/>
      <c r="M7" s="340"/>
      <c r="N7" s="340"/>
      <c r="O7" s="345"/>
    </row>
    <row r="8" spans="1:15" x14ac:dyDescent="0.25">
      <c r="A8" s="338" t="s">
        <v>13</v>
      </c>
      <c r="B8" s="339"/>
      <c r="C8" s="340"/>
      <c r="D8" s="340"/>
      <c r="E8" s="340"/>
      <c r="F8" s="340"/>
      <c r="G8" s="340"/>
      <c r="H8" s="340"/>
      <c r="I8" s="340"/>
      <c r="J8" s="340"/>
      <c r="K8" s="340"/>
      <c r="L8" s="340"/>
      <c r="M8" s="340"/>
      <c r="N8" s="340"/>
      <c r="O8" s="345"/>
    </row>
    <row r="9" spans="1:15" x14ac:dyDescent="0.25">
      <c r="A9" s="351"/>
      <c r="B9" s="352"/>
      <c r="C9" s="352"/>
      <c r="D9" s="352"/>
      <c r="E9" s="352"/>
      <c r="F9" s="340"/>
      <c r="G9" s="340"/>
      <c r="H9" s="340"/>
      <c r="I9" s="340"/>
      <c r="J9" s="340"/>
      <c r="K9" s="340"/>
      <c r="L9" s="340"/>
      <c r="M9" s="340"/>
      <c r="N9" s="340"/>
      <c r="O9" s="345"/>
    </row>
    <row r="10" spans="1:15" x14ac:dyDescent="0.25">
      <c r="A10" s="353" t="s">
        <v>14</v>
      </c>
      <c r="B10" s="354" t="s">
        <v>19</v>
      </c>
      <c r="C10" s="354" t="s">
        <v>20</v>
      </c>
      <c r="D10" s="354" t="s">
        <v>21</v>
      </c>
      <c r="E10" s="354" t="s">
        <v>22</v>
      </c>
      <c r="F10" s="355" t="s">
        <v>23</v>
      </c>
      <c r="G10" s="355" t="s">
        <v>24</v>
      </c>
      <c r="H10" s="355" t="s">
        <v>25</v>
      </c>
      <c r="I10" s="355" t="s">
        <v>26</v>
      </c>
      <c r="J10" s="355" t="s">
        <v>27</v>
      </c>
      <c r="K10" s="355" t="s">
        <v>28</v>
      </c>
      <c r="L10" s="355" t="s">
        <v>29</v>
      </c>
      <c r="M10" s="355" t="s">
        <v>17</v>
      </c>
      <c r="N10" s="355" t="s">
        <v>18</v>
      </c>
      <c r="O10" s="345"/>
    </row>
    <row r="11" spans="1:15" x14ac:dyDescent="0.25">
      <c r="A11" s="356">
        <v>10</v>
      </c>
      <c r="B11" s="357" t="s">
        <v>117</v>
      </c>
      <c r="C11" s="358" t="s">
        <v>118</v>
      </c>
      <c r="D11" s="145">
        <f>200*E11*L11</f>
        <v>7.8902924799999985</v>
      </c>
      <c r="E11" s="359">
        <f>J11*K11</f>
        <v>2.4969279999999993E-5</v>
      </c>
      <c r="F11" s="360" t="s">
        <v>119</v>
      </c>
      <c r="G11" s="360"/>
      <c r="H11" s="361"/>
      <c r="I11" s="362" t="s">
        <v>96</v>
      </c>
      <c r="J11" s="363">
        <f>3.14*(0.008*0.008-0.006*0.006)</f>
        <v>8.7919999999999985E-5</v>
      </c>
      <c r="K11" s="364">
        <v>0.28399999999999997</v>
      </c>
      <c r="L11" s="365">
        <v>1580</v>
      </c>
      <c r="M11" s="366">
        <v>1</v>
      </c>
      <c r="N11" s="367">
        <f>D11*M11</f>
        <v>7.8902924799999985</v>
      </c>
      <c r="O11" s="368"/>
    </row>
    <row r="12" spans="1:15" x14ac:dyDescent="0.25">
      <c r="A12" s="369"/>
      <c r="B12" s="370"/>
      <c r="C12" s="370"/>
      <c r="D12" s="370"/>
      <c r="E12" s="370"/>
      <c r="F12" s="370"/>
      <c r="G12" s="370"/>
      <c r="H12" s="370"/>
      <c r="I12" s="370"/>
      <c r="J12" s="370"/>
      <c r="K12" s="370"/>
      <c r="L12" s="370"/>
      <c r="M12" s="371" t="s">
        <v>18</v>
      </c>
      <c r="N12" s="372">
        <f>SUM(N11:N11)</f>
        <v>7.8902924799999985</v>
      </c>
      <c r="O12" s="345"/>
    </row>
    <row r="13" spans="1:15" x14ac:dyDescent="0.25">
      <c r="A13" s="373"/>
      <c r="B13" s="340"/>
      <c r="C13" s="340"/>
      <c r="D13" s="340"/>
      <c r="E13" s="340"/>
      <c r="F13" s="340"/>
      <c r="G13" s="340"/>
      <c r="H13" s="340"/>
      <c r="I13" s="340"/>
      <c r="J13" s="340"/>
      <c r="K13" s="340"/>
      <c r="L13" s="340"/>
      <c r="M13" s="340"/>
      <c r="N13" s="340"/>
      <c r="O13" s="345"/>
    </row>
    <row r="14" spans="1:15" x14ac:dyDescent="0.25">
      <c r="A14" s="374" t="s">
        <v>14</v>
      </c>
      <c r="B14" s="355" t="s">
        <v>31</v>
      </c>
      <c r="C14" s="355" t="s">
        <v>20</v>
      </c>
      <c r="D14" s="355" t="s">
        <v>21</v>
      </c>
      <c r="E14" s="355" t="s">
        <v>32</v>
      </c>
      <c r="F14" s="355" t="s">
        <v>17</v>
      </c>
      <c r="G14" s="355" t="s">
        <v>33</v>
      </c>
      <c r="H14" s="355" t="s">
        <v>34</v>
      </c>
      <c r="I14" s="355" t="s">
        <v>18</v>
      </c>
      <c r="J14" s="370"/>
      <c r="K14" s="370"/>
      <c r="L14" s="370"/>
      <c r="M14" s="370"/>
      <c r="N14" s="370"/>
      <c r="O14" s="345"/>
    </row>
    <row r="15" spans="1:15" ht="30" x14ac:dyDescent="0.25">
      <c r="A15" s="357">
        <v>10</v>
      </c>
      <c r="B15" s="357" t="s">
        <v>139</v>
      </c>
      <c r="C15" s="357" t="s">
        <v>140</v>
      </c>
      <c r="D15" s="332">
        <v>25</v>
      </c>
      <c r="E15" s="327" t="s">
        <v>141</v>
      </c>
      <c r="F15" s="375">
        <f>J11*K11*L11</f>
        <v>3.9451462399999991E-2</v>
      </c>
      <c r="G15" s="231"/>
      <c r="H15" s="231"/>
      <c r="I15" s="334">
        <f>IF(H15="",D15*F15,D15*F15*H15)</f>
        <v>0.98628655999999981</v>
      </c>
      <c r="J15" s="376"/>
      <c r="K15" s="376"/>
      <c r="L15" s="376"/>
      <c r="M15" s="376"/>
      <c r="N15" s="376"/>
      <c r="O15" s="377"/>
    </row>
    <row r="16" spans="1:15" x14ac:dyDescent="0.25">
      <c r="A16" s="369"/>
      <c r="B16" s="370"/>
      <c r="C16" s="370"/>
      <c r="D16" s="370"/>
      <c r="E16" s="370"/>
      <c r="F16" s="370"/>
      <c r="G16" s="370"/>
      <c r="H16" s="378" t="s">
        <v>18</v>
      </c>
      <c r="I16" s="372">
        <f>SUM(I15:I15)</f>
        <v>0.98628655999999981</v>
      </c>
      <c r="J16" s="370"/>
      <c r="K16" s="370"/>
      <c r="L16" s="370"/>
      <c r="M16" s="370"/>
      <c r="N16" s="370"/>
      <c r="O16" s="345"/>
    </row>
    <row r="17" spans="1:15" ht="15.75" thickBot="1" x14ac:dyDescent="0.3">
      <c r="A17" s="379"/>
      <c r="B17" s="380"/>
      <c r="C17" s="380"/>
      <c r="D17" s="380"/>
      <c r="E17" s="380"/>
      <c r="F17" s="380"/>
      <c r="G17" s="380"/>
      <c r="H17" s="380"/>
      <c r="I17" s="380"/>
      <c r="J17" s="380"/>
      <c r="K17" s="380"/>
      <c r="L17" s="380"/>
      <c r="M17" s="380"/>
      <c r="N17" s="380"/>
      <c r="O17" s="381"/>
    </row>
  </sheetData>
  <hyperlinks>
    <hyperlink ref="B4" location="'SU A0100'!A1" display="'SU A0100'!A1" xr:uid="{00000000-0004-0000-0600-000000000000}"/>
    <hyperlink ref="G2" location="SU_A0100_BOM" display="Back to BOM" xr:uid="{00000000-0004-0000-06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9" fitToHeight="99" orientation="landscape" r:id="rId1"/>
  <headerFooter>
    <oddFooter>Page &amp;P</oddFooter>
  </headerFooter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0-000000000000}">
  <sheetPr>
    <tabColor rgb="FFFFFF66"/>
    <pageSetUpPr fitToPage="1"/>
  </sheetPr>
  <dimension ref="A1:O17"/>
  <sheetViews>
    <sheetView zoomScale="90" zoomScaleNormal="90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1.42578125" style="151"/>
    <col min="2" max="2" width="20.7109375" style="151" customWidth="1"/>
    <col min="3" max="3" width="33" style="151" customWidth="1"/>
    <col min="4" max="4" width="11.42578125" style="151"/>
    <col min="5" max="5" width="17" style="151" customWidth="1"/>
    <col min="6" max="16384" width="11.42578125" style="151"/>
  </cols>
  <sheetData>
    <row r="1" spans="1:15" x14ac:dyDescent="0.25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5" x14ac:dyDescent="0.25">
      <c r="A2" s="188" t="s">
        <v>0</v>
      </c>
      <c r="B2" s="153" t="s">
        <v>37</v>
      </c>
      <c r="C2" s="154"/>
      <c r="D2" s="154"/>
      <c r="E2" s="154"/>
      <c r="F2" s="154"/>
      <c r="G2" s="87" t="s">
        <v>62</v>
      </c>
      <c r="H2" s="154"/>
      <c r="I2" s="154"/>
      <c r="J2" s="189" t="s">
        <v>1</v>
      </c>
      <c r="K2" s="155">
        <v>81</v>
      </c>
      <c r="L2" s="154"/>
      <c r="M2" s="188" t="s">
        <v>16</v>
      </c>
      <c r="N2" s="74">
        <f>N12+I16</f>
        <v>12.033390599999997</v>
      </c>
      <c r="O2" s="156"/>
    </row>
    <row r="3" spans="1:15" x14ac:dyDescent="0.25">
      <c r="A3" s="188" t="s">
        <v>3</v>
      </c>
      <c r="B3" s="153" t="str">
        <f>'SU A0400'!B3</f>
        <v>Suspension &amp; Shocks</v>
      </c>
      <c r="C3" s="154"/>
      <c r="D3" s="188" t="s">
        <v>6</v>
      </c>
      <c r="E3" s="151" t="s">
        <v>60</v>
      </c>
      <c r="F3" s="154"/>
      <c r="G3" s="154"/>
      <c r="H3" s="154"/>
      <c r="I3" s="154"/>
      <c r="J3" s="154"/>
      <c r="K3" s="154"/>
      <c r="L3" s="154"/>
      <c r="M3" s="188" t="s">
        <v>4</v>
      </c>
      <c r="N3" s="82">
        <v>1</v>
      </c>
      <c r="O3" s="156"/>
    </row>
    <row r="4" spans="1:15" x14ac:dyDescent="0.25">
      <c r="A4" s="188" t="s">
        <v>5</v>
      </c>
      <c r="B4" s="87" t="s">
        <v>142</v>
      </c>
      <c r="C4" s="154"/>
      <c r="D4" s="188" t="s">
        <v>8</v>
      </c>
      <c r="E4" s="154"/>
      <c r="F4" s="154"/>
      <c r="G4" s="154"/>
      <c r="H4" s="154"/>
      <c r="I4" s="154"/>
      <c r="J4" s="190" t="s">
        <v>6</v>
      </c>
      <c r="K4" s="154"/>
      <c r="L4" s="154"/>
      <c r="M4" s="154"/>
      <c r="N4" s="154"/>
      <c r="O4" s="156"/>
    </row>
    <row r="5" spans="1:15" x14ac:dyDescent="0.25">
      <c r="A5" s="188" t="s">
        <v>15</v>
      </c>
      <c r="B5" s="73" t="s">
        <v>147</v>
      </c>
      <c r="C5" s="154"/>
      <c r="D5" s="188" t="s">
        <v>12</v>
      </c>
      <c r="E5" s="154"/>
      <c r="F5" s="154"/>
      <c r="G5" s="154"/>
      <c r="H5" s="154"/>
      <c r="I5" s="154"/>
      <c r="J5" s="190" t="s">
        <v>8</v>
      </c>
      <c r="K5" s="154"/>
      <c r="L5" s="154"/>
      <c r="M5" s="188" t="s">
        <v>9</v>
      </c>
      <c r="N5" s="74">
        <f>N3*N2</f>
        <v>12.033390599999997</v>
      </c>
      <c r="O5" s="156"/>
    </row>
    <row r="6" spans="1:15" x14ac:dyDescent="0.25">
      <c r="A6" s="188" t="s">
        <v>7</v>
      </c>
      <c r="B6" s="191" t="s">
        <v>148</v>
      </c>
      <c r="C6" s="154"/>
      <c r="D6" s="154"/>
      <c r="E6" s="154"/>
      <c r="F6" s="154"/>
      <c r="G6" s="154"/>
      <c r="H6" s="154"/>
      <c r="I6" s="154"/>
      <c r="J6" s="190" t="s">
        <v>12</v>
      </c>
      <c r="K6" s="154"/>
      <c r="L6" s="154"/>
      <c r="M6" s="154"/>
      <c r="N6" s="154"/>
      <c r="O6" s="156"/>
    </row>
    <row r="7" spans="1:15" x14ac:dyDescent="0.25">
      <c r="A7" s="188" t="s">
        <v>10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5" x14ac:dyDescent="0.25">
      <c r="A8" s="188" t="s">
        <v>13</v>
      </c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5" x14ac:dyDescent="0.25">
      <c r="A9" s="192"/>
      <c r="B9" s="193"/>
      <c r="C9" s="193"/>
      <c r="D9" s="193"/>
      <c r="E9" s="193"/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5" x14ac:dyDescent="0.25">
      <c r="A10" s="194" t="s">
        <v>14</v>
      </c>
      <c r="B10" s="195" t="s">
        <v>19</v>
      </c>
      <c r="C10" s="195" t="s">
        <v>20</v>
      </c>
      <c r="D10" s="195" t="s">
        <v>21</v>
      </c>
      <c r="E10" s="195" t="s">
        <v>22</v>
      </c>
      <c r="F10" s="196" t="s">
        <v>23</v>
      </c>
      <c r="G10" s="196" t="s">
        <v>24</v>
      </c>
      <c r="H10" s="196" t="s">
        <v>25</v>
      </c>
      <c r="I10" s="196" t="s">
        <v>26</v>
      </c>
      <c r="J10" s="196" t="s">
        <v>27</v>
      </c>
      <c r="K10" s="196" t="s">
        <v>28</v>
      </c>
      <c r="L10" s="196" t="s">
        <v>29</v>
      </c>
      <c r="M10" s="196" t="s">
        <v>17</v>
      </c>
      <c r="N10" s="196" t="s">
        <v>18</v>
      </c>
      <c r="O10" s="156"/>
    </row>
    <row r="11" spans="1:15" x14ac:dyDescent="0.25">
      <c r="A11" s="85">
        <v>10</v>
      </c>
      <c r="B11" s="141" t="s">
        <v>117</v>
      </c>
      <c r="C11" s="142" t="s">
        <v>118</v>
      </c>
      <c r="D11" s="145">
        <f>200*E11*L11</f>
        <v>10.696347199999998</v>
      </c>
      <c r="E11" s="21">
        <f>J11*K11</f>
        <v>3.3849199999999994E-5</v>
      </c>
      <c r="F11" s="20" t="s">
        <v>119</v>
      </c>
      <c r="G11" s="20"/>
      <c r="H11" s="278"/>
      <c r="I11" s="21" t="s">
        <v>96</v>
      </c>
      <c r="J11" s="247">
        <f>3.14*(0.008*0.008-0.006*0.006)</f>
        <v>8.7919999999999985E-5</v>
      </c>
      <c r="K11" s="78">
        <v>0.38500000000000001</v>
      </c>
      <c r="L11" s="79">
        <v>1580</v>
      </c>
      <c r="M11" s="143">
        <v>1</v>
      </c>
      <c r="N11" s="277">
        <f>D11*M11</f>
        <v>10.696347199999998</v>
      </c>
      <c r="O11" s="173"/>
    </row>
    <row r="12" spans="1:15" x14ac:dyDescent="0.25">
      <c r="A12" s="175"/>
      <c r="B12" s="176"/>
      <c r="C12" s="176"/>
      <c r="D12" s="176"/>
      <c r="E12" s="176"/>
      <c r="F12" s="176"/>
      <c r="G12" s="176"/>
      <c r="H12" s="176"/>
      <c r="I12" s="176"/>
      <c r="J12" s="176"/>
      <c r="K12" s="176"/>
      <c r="L12" s="176"/>
      <c r="M12" s="201" t="s">
        <v>18</v>
      </c>
      <c r="N12" s="202">
        <f>SUM(N11)</f>
        <v>10.696347199999998</v>
      </c>
      <c r="O12" s="156"/>
    </row>
    <row r="13" spans="1:15" x14ac:dyDescent="0.25">
      <c r="A13" s="160"/>
      <c r="B13" s="154"/>
      <c r="C13" s="154"/>
      <c r="D13" s="154"/>
      <c r="E13" s="154"/>
      <c r="F13" s="154"/>
      <c r="G13" s="154"/>
      <c r="H13" s="154"/>
      <c r="I13" s="154"/>
      <c r="J13" s="154"/>
      <c r="K13" s="154"/>
      <c r="L13" s="154"/>
      <c r="M13" s="154"/>
      <c r="N13" s="154"/>
      <c r="O13" s="156"/>
    </row>
    <row r="14" spans="1:15" x14ac:dyDescent="0.25">
      <c r="A14" s="204" t="s">
        <v>14</v>
      </c>
      <c r="B14" s="196" t="s">
        <v>31</v>
      </c>
      <c r="C14" s="196" t="s">
        <v>20</v>
      </c>
      <c r="D14" s="196" t="s">
        <v>21</v>
      </c>
      <c r="E14" s="196" t="s">
        <v>32</v>
      </c>
      <c r="F14" s="196" t="s">
        <v>17</v>
      </c>
      <c r="G14" s="196" t="s">
        <v>33</v>
      </c>
      <c r="H14" s="196" t="s">
        <v>34</v>
      </c>
      <c r="I14" s="196" t="s">
        <v>18</v>
      </c>
      <c r="J14" s="176"/>
      <c r="K14" s="176"/>
      <c r="L14" s="176"/>
      <c r="M14" s="176"/>
      <c r="N14" s="176"/>
      <c r="O14" s="156"/>
    </row>
    <row r="15" spans="1:15" ht="29.45" customHeight="1" x14ac:dyDescent="0.25">
      <c r="A15" s="141">
        <v>10</v>
      </c>
      <c r="B15" s="141" t="s">
        <v>139</v>
      </c>
      <c r="C15" s="141" t="s">
        <v>140</v>
      </c>
      <c r="D15" s="273">
        <v>25</v>
      </c>
      <c r="E15" s="276" t="s">
        <v>141</v>
      </c>
      <c r="F15" s="219">
        <f>J11*K11*L11</f>
        <v>5.3481735999999988E-2</v>
      </c>
      <c r="G15" s="215"/>
      <c r="H15" s="215"/>
      <c r="I15" s="218">
        <f>IF(H15="",D15*F15,D15*F15*H15)</f>
        <v>1.3370433999999998</v>
      </c>
      <c r="J15" s="184"/>
      <c r="K15" s="184"/>
      <c r="L15" s="184"/>
      <c r="M15" s="184"/>
      <c r="N15" s="184"/>
      <c r="O15" s="177"/>
    </row>
    <row r="16" spans="1:15" x14ac:dyDescent="0.25">
      <c r="A16" s="175"/>
      <c r="B16" s="176"/>
      <c r="C16" s="176"/>
      <c r="D16" s="176"/>
      <c r="E16" s="176"/>
      <c r="F16" s="176"/>
      <c r="G16" s="176"/>
      <c r="H16" s="208" t="s">
        <v>18</v>
      </c>
      <c r="I16" s="202">
        <f>SUM(I15:I15)</f>
        <v>1.3370433999999998</v>
      </c>
      <c r="J16" s="176"/>
      <c r="K16" s="176"/>
      <c r="L16" s="176"/>
      <c r="M16" s="176"/>
      <c r="N16" s="176"/>
      <c r="O16" s="156"/>
    </row>
    <row r="17" spans="1:15" ht="15.75" thickBot="1" x14ac:dyDescent="0.3">
      <c r="A17" s="185"/>
      <c r="B17" s="186"/>
      <c r="C17" s="186"/>
      <c r="D17" s="186"/>
      <c r="E17" s="186"/>
      <c r="F17" s="186"/>
      <c r="G17" s="186"/>
      <c r="H17" s="186"/>
      <c r="I17" s="186"/>
      <c r="J17" s="186"/>
      <c r="K17" s="186"/>
      <c r="L17" s="186"/>
      <c r="M17" s="186"/>
      <c r="N17" s="186"/>
      <c r="O17" s="187"/>
    </row>
  </sheetData>
  <hyperlinks>
    <hyperlink ref="G2" location="SU_A0400_BOM" display="Back to BOM" xr:uid="{00000000-0004-0000-4500-000000000000}"/>
    <hyperlink ref="B4" location="SU_A0400" display="Lower Back A-arm" xr:uid="{00000000-0004-0000-45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0-000000000000}">
  <sheetPr>
    <tabColor rgb="FFFFFF66"/>
    <pageSetUpPr fitToPage="1"/>
  </sheetPr>
  <dimension ref="A1:O17"/>
  <sheetViews>
    <sheetView zoomScale="80" zoomScaleNormal="80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1.42578125" style="151"/>
    <col min="2" max="2" width="28.28515625" style="151" customWidth="1"/>
    <col min="3" max="3" width="46.7109375" style="151" customWidth="1"/>
    <col min="4" max="4" width="11.42578125" style="151"/>
    <col min="5" max="5" width="18.28515625" style="151" customWidth="1"/>
    <col min="6" max="10" width="11.42578125" style="151"/>
    <col min="11" max="11" width="9.140625" style="151" customWidth="1"/>
    <col min="12" max="12" width="7.85546875" style="151" customWidth="1"/>
    <col min="13" max="14" width="11.42578125" style="151"/>
    <col min="15" max="15" width="5" style="151" customWidth="1"/>
    <col min="16" max="16384" width="11.42578125" style="151"/>
  </cols>
  <sheetData>
    <row r="1" spans="1:15" x14ac:dyDescent="0.25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5" x14ac:dyDescent="0.25">
      <c r="A2" s="188" t="s">
        <v>0</v>
      </c>
      <c r="B2" s="153" t="s">
        <v>37</v>
      </c>
      <c r="C2" s="154"/>
      <c r="D2" s="154"/>
      <c r="E2" s="154"/>
      <c r="F2" s="154"/>
      <c r="G2" s="87" t="s">
        <v>62</v>
      </c>
      <c r="H2" s="154"/>
      <c r="I2" s="154"/>
      <c r="J2" s="189" t="s">
        <v>1</v>
      </c>
      <c r="K2" s="155">
        <v>81</v>
      </c>
      <c r="L2" s="154"/>
      <c r="M2" s="188" t="s">
        <v>16</v>
      </c>
      <c r="N2" s="74">
        <f>N12+I16</f>
        <v>7.4075677199999985</v>
      </c>
      <c r="O2" s="156"/>
    </row>
    <row r="3" spans="1:15" x14ac:dyDescent="0.25">
      <c r="A3" s="188" t="s">
        <v>3</v>
      </c>
      <c r="B3" s="153" t="str">
        <f>'SU A0400'!B3</f>
        <v>Suspension &amp; Shocks</v>
      </c>
      <c r="C3" s="154"/>
      <c r="D3" s="188" t="s">
        <v>6</v>
      </c>
      <c r="E3" s="151" t="s">
        <v>60</v>
      </c>
      <c r="F3" s="154"/>
      <c r="G3" s="154"/>
      <c r="H3" s="154"/>
      <c r="I3" s="154"/>
      <c r="J3" s="154"/>
      <c r="K3" s="154"/>
      <c r="L3" s="154"/>
      <c r="M3" s="188" t="s">
        <v>4</v>
      </c>
      <c r="N3" s="82">
        <v>1</v>
      </c>
      <c r="O3" s="156"/>
    </row>
    <row r="4" spans="1:15" x14ac:dyDescent="0.25">
      <c r="A4" s="188" t="s">
        <v>5</v>
      </c>
      <c r="B4" s="87" t="s">
        <v>142</v>
      </c>
      <c r="C4" s="154"/>
      <c r="D4" s="188" t="s">
        <v>8</v>
      </c>
      <c r="E4" s="154"/>
      <c r="F4" s="154"/>
      <c r="G4" s="154"/>
      <c r="H4" s="154"/>
      <c r="I4" s="154"/>
      <c r="J4" s="190" t="s">
        <v>6</v>
      </c>
      <c r="K4" s="154"/>
      <c r="L4" s="154"/>
      <c r="M4" s="154"/>
      <c r="N4" s="154"/>
      <c r="O4" s="156"/>
    </row>
    <row r="5" spans="1:15" x14ac:dyDescent="0.25">
      <c r="A5" s="209" t="s">
        <v>15</v>
      </c>
      <c r="B5" s="210" t="s">
        <v>149</v>
      </c>
      <c r="C5" s="154"/>
      <c r="D5" s="188" t="s">
        <v>12</v>
      </c>
      <c r="E5" s="154"/>
      <c r="F5" s="154"/>
      <c r="G5" s="154"/>
      <c r="H5" s="154"/>
      <c r="I5" s="154"/>
      <c r="J5" s="190" t="s">
        <v>8</v>
      </c>
      <c r="K5" s="154"/>
      <c r="L5" s="154"/>
      <c r="M5" s="188" t="s">
        <v>9</v>
      </c>
      <c r="N5" s="74">
        <f>N3*N2</f>
        <v>7.4075677199999985</v>
      </c>
      <c r="O5" s="156"/>
    </row>
    <row r="6" spans="1:15" x14ac:dyDescent="0.25">
      <c r="A6" s="188" t="s">
        <v>7</v>
      </c>
      <c r="B6" s="191" t="s">
        <v>150</v>
      </c>
      <c r="C6" s="154"/>
      <c r="D6" s="154"/>
      <c r="E6" s="154"/>
      <c r="F6" s="154"/>
      <c r="G6" s="154"/>
      <c r="H6" s="154"/>
      <c r="I6" s="154"/>
      <c r="J6" s="190" t="s">
        <v>12</v>
      </c>
      <c r="K6" s="154"/>
      <c r="L6" s="154"/>
      <c r="M6" s="154"/>
      <c r="N6" s="154"/>
      <c r="O6" s="156"/>
    </row>
    <row r="7" spans="1:15" x14ac:dyDescent="0.25">
      <c r="A7" s="188" t="s">
        <v>10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5" x14ac:dyDescent="0.25">
      <c r="A8" s="188" t="s">
        <v>13</v>
      </c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5" x14ac:dyDescent="0.25">
      <c r="A9" s="192"/>
      <c r="B9" s="193"/>
      <c r="C9" s="193"/>
      <c r="D9" s="193"/>
      <c r="E9" s="193"/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5" x14ac:dyDescent="0.25">
      <c r="A10" s="194" t="s">
        <v>14</v>
      </c>
      <c r="B10" s="195" t="s">
        <v>19</v>
      </c>
      <c r="C10" s="195" t="s">
        <v>20</v>
      </c>
      <c r="D10" s="195" t="s">
        <v>21</v>
      </c>
      <c r="E10" s="195" t="s">
        <v>22</v>
      </c>
      <c r="F10" s="196" t="s">
        <v>23</v>
      </c>
      <c r="G10" s="196" t="s">
        <v>24</v>
      </c>
      <c r="H10" s="196" t="s">
        <v>25</v>
      </c>
      <c r="I10" s="196" t="s">
        <v>26</v>
      </c>
      <c r="J10" s="196" t="s">
        <v>27</v>
      </c>
      <c r="K10" s="196" t="s">
        <v>28</v>
      </c>
      <c r="L10" s="196" t="s">
        <v>29</v>
      </c>
      <c r="M10" s="196" t="s">
        <v>17</v>
      </c>
      <c r="N10" s="196" t="s">
        <v>18</v>
      </c>
      <c r="O10" s="156"/>
    </row>
    <row r="11" spans="1:15" x14ac:dyDescent="0.25">
      <c r="A11" s="85">
        <v>10</v>
      </c>
      <c r="B11" s="141" t="s">
        <v>117</v>
      </c>
      <c r="C11" s="142" t="s">
        <v>118</v>
      </c>
      <c r="D11" s="145">
        <f>200*E11*L11</f>
        <v>6.5845046399999987</v>
      </c>
      <c r="E11" s="21">
        <f>J11*K11</f>
        <v>2.0837039999999997E-5</v>
      </c>
      <c r="F11" s="20" t="s">
        <v>119</v>
      </c>
      <c r="G11" s="20"/>
      <c r="H11" s="278"/>
      <c r="I11" s="21" t="s">
        <v>96</v>
      </c>
      <c r="J11" s="247">
        <f>3.14*(0.008*0.008-0.006*0.006)</f>
        <v>8.7919999999999985E-5</v>
      </c>
      <c r="K11" s="78">
        <v>0.23699999999999999</v>
      </c>
      <c r="L11" s="79">
        <v>1580</v>
      </c>
      <c r="M11" s="143">
        <v>1</v>
      </c>
      <c r="N11" s="277">
        <f>D11*M11</f>
        <v>6.5845046399999987</v>
      </c>
      <c r="O11" s="173"/>
    </row>
    <row r="12" spans="1:15" x14ac:dyDescent="0.25">
      <c r="A12" s="175"/>
      <c r="B12" s="176"/>
      <c r="C12" s="176"/>
      <c r="D12" s="176"/>
      <c r="E12" s="176"/>
      <c r="F12" s="176"/>
      <c r="G12" s="176"/>
      <c r="H12" s="176"/>
      <c r="I12" s="176"/>
      <c r="J12" s="176"/>
      <c r="K12" s="176"/>
      <c r="L12" s="176"/>
      <c r="M12" s="201" t="s">
        <v>18</v>
      </c>
      <c r="N12" s="202">
        <f>SUM(N11)</f>
        <v>6.5845046399999987</v>
      </c>
      <c r="O12" s="156"/>
    </row>
    <row r="13" spans="1:15" x14ac:dyDescent="0.25">
      <c r="A13" s="160"/>
      <c r="B13" s="154"/>
      <c r="C13" s="154"/>
      <c r="D13" s="154"/>
      <c r="E13" s="154"/>
      <c r="F13" s="154"/>
      <c r="G13" s="154"/>
      <c r="H13" s="154"/>
      <c r="I13" s="154"/>
      <c r="J13" s="154"/>
      <c r="K13" s="154"/>
      <c r="L13" s="154"/>
      <c r="M13" s="154"/>
      <c r="N13" s="154"/>
      <c r="O13" s="156"/>
    </row>
    <row r="14" spans="1:15" x14ac:dyDescent="0.25">
      <c r="A14" s="204" t="s">
        <v>14</v>
      </c>
      <c r="B14" s="196" t="s">
        <v>31</v>
      </c>
      <c r="C14" s="196" t="s">
        <v>20</v>
      </c>
      <c r="D14" s="196" t="s">
        <v>21</v>
      </c>
      <c r="E14" s="196" t="s">
        <v>32</v>
      </c>
      <c r="F14" s="196" t="s">
        <v>17</v>
      </c>
      <c r="G14" s="196" t="s">
        <v>33</v>
      </c>
      <c r="H14" s="196" t="s">
        <v>34</v>
      </c>
      <c r="I14" s="196" t="s">
        <v>18</v>
      </c>
      <c r="J14" s="176"/>
      <c r="K14" s="176"/>
      <c r="L14" s="176"/>
      <c r="M14" s="176"/>
      <c r="N14" s="176"/>
      <c r="O14" s="156"/>
    </row>
    <row r="15" spans="1:15" ht="16.899999999999999" customHeight="1" x14ac:dyDescent="0.25">
      <c r="A15" s="141">
        <v>10</v>
      </c>
      <c r="B15" s="141" t="s">
        <v>139</v>
      </c>
      <c r="C15" s="141" t="s">
        <v>140</v>
      </c>
      <c r="D15" s="273">
        <v>25</v>
      </c>
      <c r="E15" s="276" t="s">
        <v>141</v>
      </c>
      <c r="F15" s="219">
        <f>J11*K11*L11</f>
        <v>3.2922523199999998E-2</v>
      </c>
      <c r="G15" s="215"/>
      <c r="H15" s="215"/>
      <c r="I15" s="218">
        <f>IF(H15="",D15*F15,D15*F15*H15)</f>
        <v>0.82306307999999995</v>
      </c>
      <c r="J15" s="184"/>
      <c r="K15" s="184"/>
      <c r="L15" s="184"/>
      <c r="M15" s="184"/>
      <c r="N15" s="184"/>
      <c r="O15" s="177"/>
    </row>
    <row r="16" spans="1:15" x14ac:dyDescent="0.25">
      <c r="A16" s="175"/>
      <c r="B16" s="176"/>
      <c r="C16" s="176"/>
      <c r="D16" s="176"/>
      <c r="E16" s="176"/>
      <c r="F16" s="176"/>
      <c r="G16" s="176"/>
      <c r="H16" s="208" t="s">
        <v>18</v>
      </c>
      <c r="I16" s="202">
        <f>SUM(I15:I15)</f>
        <v>0.82306307999999995</v>
      </c>
      <c r="J16" s="176"/>
      <c r="K16" s="176"/>
      <c r="L16" s="176"/>
      <c r="M16" s="176"/>
      <c r="N16" s="176"/>
      <c r="O16" s="156"/>
    </row>
    <row r="17" spans="1:15" ht="15.75" thickBot="1" x14ac:dyDescent="0.3">
      <c r="A17" s="185"/>
      <c r="B17" s="186"/>
      <c r="C17" s="186"/>
      <c r="D17" s="186"/>
      <c r="E17" s="186"/>
      <c r="F17" s="186"/>
      <c r="G17" s="186"/>
      <c r="H17" s="186"/>
      <c r="I17" s="186"/>
      <c r="J17" s="186"/>
      <c r="K17" s="186"/>
      <c r="L17" s="186"/>
      <c r="M17" s="186"/>
      <c r="N17" s="186"/>
      <c r="O17" s="187"/>
    </row>
  </sheetData>
  <hyperlinks>
    <hyperlink ref="G2" location="SU_A0400_BOM" display="Back to BOM" xr:uid="{00000000-0004-0000-4600-000000000000}"/>
    <hyperlink ref="B4" location="SU_A0400" display="Lower Back A-arm" xr:uid="{00000000-0004-0000-46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5" fitToHeight="99" orientation="landscape" r:id="rId1"/>
  <headerFooter>
    <oddFooter>Page &amp;P</oddFooter>
  </headerFooter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sheetPr>
    <tabColor rgb="FFFFFF66"/>
    <pageSetUpPr fitToPage="1"/>
  </sheetPr>
  <dimension ref="A1:Q18"/>
  <sheetViews>
    <sheetView zoomScale="90" zoomScaleNormal="90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1.42578125" style="151"/>
    <col min="2" max="2" width="25.140625" style="151" customWidth="1"/>
    <col min="3" max="3" width="30.5703125" style="151" customWidth="1"/>
    <col min="4" max="8" width="11.42578125" style="151"/>
    <col min="9" max="9" width="14" style="151" customWidth="1"/>
    <col min="10" max="16" width="11.42578125" style="151"/>
    <col min="17" max="17" width="12.85546875" style="151" bestFit="1" customWidth="1"/>
    <col min="18" max="16384" width="11.42578125" style="151"/>
  </cols>
  <sheetData>
    <row r="1" spans="1:17" x14ac:dyDescent="0.25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7" x14ac:dyDescent="0.25">
      <c r="A2" s="188" t="s">
        <v>0</v>
      </c>
      <c r="B2" s="153" t="s">
        <v>37</v>
      </c>
      <c r="C2" s="154"/>
      <c r="D2" s="154"/>
      <c r="E2" s="154"/>
      <c r="F2" s="154"/>
      <c r="G2" s="87" t="s">
        <v>62</v>
      </c>
      <c r="H2" s="154"/>
      <c r="I2" s="154"/>
      <c r="J2" s="189" t="s">
        <v>1</v>
      </c>
      <c r="K2" s="155">
        <v>81</v>
      </c>
      <c r="L2" s="154"/>
      <c r="M2" s="188" t="s">
        <v>16</v>
      </c>
      <c r="N2" s="74">
        <f>N12+I17</f>
        <v>1.6276857568</v>
      </c>
      <c r="O2" s="156"/>
    </row>
    <row r="3" spans="1:17" x14ac:dyDescent="0.25">
      <c r="A3" s="188" t="s">
        <v>3</v>
      </c>
      <c r="B3" s="153" t="str">
        <f>'SU A0400'!B3</f>
        <v>Suspension &amp; Shocks</v>
      </c>
      <c r="C3" s="154"/>
      <c r="D3" s="188" t="s">
        <v>6</v>
      </c>
      <c r="E3" s="275" t="s">
        <v>60</v>
      </c>
      <c r="F3" s="154"/>
      <c r="G3" s="154"/>
      <c r="H3" s="154"/>
      <c r="I3" s="154"/>
      <c r="J3" s="154"/>
      <c r="K3" s="154"/>
      <c r="L3" s="154"/>
      <c r="M3" s="188" t="s">
        <v>4</v>
      </c>
      <c r="N3" s="82">
        <v>2</v>
      </c>
      <c r="O3" s="156"/>
    </row>
    <row r="4" spans="1:17" x14ac:dyDescent="0.25">
      <c r="A4" s="188" t="s">
        <v>5</v>
      </c>
      <c r="B4" s="87" t="s">
        <v>142</v>
      </c>
      <c r="C4" s="154"/>
      <c r="D4" s="188" t="s">
        <v>8</v>
      </c>
      <c r="E4" s="154"/>
      <c r="F4" s="154"/>
      <c r="G4" s="154"/>
      <c r="H4" s="154"/>
      <c r="I4" s="154"/>
      <c r="J4" s="190" t="s">
        <v>6</v>
      </c>
      <c r="K4" s="154"/>
      <c r="L4" s="154"/>
      <c r="M4" s="154"/>
      <c r="N4" s="154"/>
      <c r="O4" s="156"/>
    </row>
    <row r="5" spans="1:17" x14ac:dyDescent="0.25">
      <c r="A5" s="188" t="s">
        <v>15</v>
      </c>
      <c r="B5" s="159" t="s">
        <v>122</v>
      </c>
      <c r="C5" s="154"/>
      <c r="D5" s="188" t="s">
        <v>12</v>
      </c>
      <c r="E5" s="154"/>
      <c r="F5" s="154"/>
      <c r="G5" s="154"/>
      <c r="H5" s="154"/>
      <c r="I5" s="154"/>
      <c r="J5" s="190" t="s">
        <v>8</v>
      </c>
      <c r="K5" s="154"/>
      <c r="L5" s="154"/>
      <c r="M5" s="188" t="s">
        <v>9</v>
      </c>
      <c r="N5" s="74">
        <f>N3*N2</f>
        <v>3.2553715136000001</v>
      </c>
      <c r="O5" s="156"/>
    </row>
    <row r="6" spans="1:17" x14ac:dyDescent="0.25">
      <c r="A6" s="188" t="s">
        <v>7</v>
      </c>
      <c r="B6" s="191" t="s">
        <v>151</v>
      </c>
      <c r="C6" s="154"/>
      <c r="D6" s="154"/>
      <c r="E6" s="154"/>
      <c r="F6" s="154"/>
      <c r="G6" s="154"/>
      <c r="H6" s="154"/>
      <c r="I6" s="154"/>
      <c r="J6" s="190" t="s">
        <v>12</v>
      </c>
      <c r="K6" s="154"/>
      <c r="L6" s="154"/>
      <c r="M6" s="154"/>
      <c r="N6" s="154"/>
      <c r="O6" s="156"/>
    </row>
    <row r="7" spans="1:17" x14ac:dyDescent="0.25">
      <c r="A7" s="188" t="s">
        <v>10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7" x14ac:dyDescent="0.25">
      <c r="A8" s="188" t="s">
        <v>13</v>
      </c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7" x14ac:dyDescent="0.25">
      <c r="A9" s="192"/>
      <c r="B9" s="193"/>
      <c r="C9" s="193"/>
      <c r="D9" s="193"/>
      <c r="E9" s="193"/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7" x14ac:dyDescent="0.25">
      <c r="A10" s="194" t="s">
        <v>14</v>
      </c>
      <c r="B10" s="195" t="s">
        <v>19</v>
      </c>
      <c r="C10" s="195" t="s">
        <v>20</v>
      </c>
      <c r="D10" s="195" t="s">
        <v>21</v>
      </c>
      <c r="E10" s="195" t="s">
        <v>22</v>
      </c>
      <c r="F10" s="196" t="s">
        <v>23</v>
      </c>
      <c r="G10" s="196" t="s">
        <v>24</v>
      </c>
      <c r="H10" s="196" t="s">
        <v>25</v>
      </c>
      <c r="I10" s="196" t="s">
        <v>26</v>
      </c>
      <c r="J10" s="196" t="s">
        <v>27</v>
      </c>
      <c r="K10" s="196" t="s">
        <v>28</v>
      </c>
      <c r="L10" s="196" t="s">
        <v>29</v>
      </c>
      <c r="M10" s="196" t="s">
        <v>17</v>
      </c>
      <c r="N10" s="196" t="s">
        <v>18</v>
      </c>
      <c r="O10" s="156"/>
    </row>
    <row r="11" spans="1:17" x14ac:dyDescent="0.25">
      <c r="A11" s="197">
        <v>10</v>
      </c>
      <c r="B11" s="198" t="s">
        <v>98</v>
      </c>
      <c r="C11" s="199" t="s">
        <v>38</v>
      </c>
      <c r="D11" s="30">
        <v>2.25</v>
      </c>
      <c r="E11" s="211">
        <f>J11*K11*L11/1000000000</f>
        <v>1.2304780800000002E-2</v>
      </c>
      <c r="F11" s="199" t="s">
        <v>94</v>
      </c>
      <c r="G11" s="199"/>
      <c r="H11" s="19"/>
      <c r="I11" s="200" t="s">
        <v>97</v>
      </c>
      <c r="J11" s="94">
        <f>3.14*8*8</f>
        <v>200.96</v>
      </c>
      <c r="K11" s="78">
        <v>7.8</v>
      </c>
      <c r="L11" s="172">
        <v>7850</v>
      </c>
      <c r="M11" s="23">
        <v>1</v>
      </c>
      <c r="N11" s="30">
        <f>D11*E11</f>
        <v>2.7685756800000003E-2</v>
      </c>
      <c r="O11" s="173"/>
      <c r="Q11" s="203"/>
    </row>
    <row r="12" spans="1:17" x14ac:dyDescent="0.25">
      <c r="A12" s="175"/>
      <c r="B12" s="176"/>
      <c r="C12" s="176"/>
      <c r="D12" s="176"/>
      <c r="E12" s="176"/>
      <c r="F12" s="176"/>
      <c r="G12" s="176"/>
      <c r="H12" s="176"/>
      <c r="I12" s="176"/>
      <c r="J12" s="176"/>
      <c r="K12" s="176"/>
      <c r="L12" s="176"/>
      <c r="M12" s="201" t="s">
        <v>18</v>
      </c>
      <c r="N12" s="202">
        <f>SUM(N11:N11)</f>
        <v>2.7685756800000003E-2</v>
      </c>
      <c r="O12" s="156"/>
    </row>
    <row r="13" spans="1:17" x14ac:dyDescent="0.25">
      <c r="A13" s="160"/>
      <c r="B13" s="154"/>
      <c r="C13" s="154"/>
      <c r="D13" s="154"/>
      <c r="E13" s="154"/>
      <c r="F13" s="154"/>
      <c r="G13" s="154"/>
      <c r="H13" s="154"/>
      <c r="I13" s="154"/>
      <c r="J13" s="154"/>
      <c r="K13" s="154"/>
      <c r="L13" s="154"/>
      <c r="M13" s="154"/>
      <c r="N13" s="154"/>
      <c r="O13" s="156"/>
    </row>
    <row r="14" spans="1:17" x14ac:dyDescent="0.25">
      <c r="A14" s="204" t="s">
        <v>14</v>
      </c>
      <c r="B14" s="196" t="s">
        <v>31</v>
      </c>
      <c r="C14" s="196" t="s">
        <v>20</v>
      </c>
      <c r="D14" s="196" t="s">
        <v>21</v>
      </c>
      <c r="E14" s="196" t="s">
        <v>32</v>
      </c>
      <c r="F14" s="196" t="s">
        <v>17</v>
      </c>
      <c r="G14" s="196" t="s">
        <v>33</v>
      </c>
      <c r="H14" s="196" t="s">
        <v>34</v>
      </c>
      <c r="I14" s="196" t="s">
        <v>18</v>
      </c>
      <c r="J14" s="176"/>
      <c r="K14" s="176"/>
      <c r="L14" s="176"/>
      <c r="M14" s="176"/>
      <c r="N14" s="176"/>
      <c r="O14" s="156"/>
    </row>
    <row r="15" spans="1:17" ht="30" x14ac:dyDescent="0.25">
      <c r="A15" s="205">
        <v>10</v>
      </c>
      <c r="B15" s="27" t="s">
        <v>39</v>
      </c>
      <c r="C15" s="206" t="s">
        <v>68</v>
      </c>
      <c r="D15" s="32">
        <v>1.3</v>
      </c>
      <c r="E15" s="27" t="s">
        <v>35</v>
      </c>
      <c r="F15" s="206">
        <v>1</v>
      </c>
      <c r="G15" s="206"/>
      <c r="H15" s="206"/>
      <c r="I15" s="32">
        <f t="shared" ref="I15:I16" si="0">IF(H15="",D15*F15,D15*F15*H15)</f>
        <v>1.3</v>
      </c>
      <c r="J15" s="184"/>
      <c r="K15" s="184"/>
      <c r="L15" s="184"/>
      <c r="M15" s="184"/>
      <c r="N15" s="184"/>
      <c r="O15" s="177"/>
    </row>
    <row r="16" spans="1:17" x14ac:dyDescent="0.25">
      <c r="A16" s="207">
        <v>20</v>
      </c>
      <c r="B16" s="1171" t="s">
        <v>92</v>
      </c>
      <c r="C16" s="385" t="s">
        <v>196</v>
      </c>
      <c r="D16" s="30">
        <v>0.04</v>
      </c>
      <c r="E16" s="27" t="s">
        <v>93</v>
      </c>
      <c r="F16" s="212">
        <v>2.5</v>
      </c>
      <c r="G16" s="27" t="s">
        <v>552</v>
      </c>
      <c r="H16" s="198">
        <v>3</v>
      </c>
      <c r="I16" s="30">
        <f t="shared" si="0"/>
        <v>0.30000000000000004</v>
      </c>
      <c r="J16" s="154"/>
      <c r="K16" s="154"/>
      <c r="L16" s="154"/>
      <c r="M16" s="154"/>
      <c r="N16" s="154"/>
      <c r="O16" s="156"/>
    </row>
    <row r="17" spans="1:15" x14ac:dyDescent="0.25">
      <c r="A17" s="175"/>
      <c r="B17" s="176"/>
      <c r="C17" s="176"/>
      <c r="D17" s="176"/>
      <c r="E17" s="176"/>
      <c r="F17" s="176"/>
      <c r="G17" s="176"/>
      <c r="H17" s="208" t="s">
        <v>18</v>
      </c>
      <c r="I17" s="202">
        <f>SUM(I15:I16)</f>
        <v>1.6</v>
      </c>
      <c r="J17" s="176"/>
      <c r="K17" s="176"/>
      <c r="L17" s="176"/>
      <c r="M17" s="176"/>
      <c r="N17" s="176"/>
      <c r="O17" s="156"/>
    </row>
    <row r="18" spans="1:15" ht="15.75" thickBot="1" x14ac:dyDescent="0.3">
      <c r="A18" s="185"/>
      <c r="B18" s="186"/>
      <c r="C18" s="186"/>
      <c r="D18" s="186"/>
      <c r="E18" s="186"/>
      <c r="F18" s="186"/>
      <c r="G18" s="186"/>
      <c r="H18" s="186"/>
      <c r="I18" s="186"/>
      <c r="J18" s="186"/>
      <c r="K18" s="186"/>
      <c r="L18" s="186"/>
      <c r="M18" s="186"/>
      <c r="N18" s="186"/>
      <c r="O18" s="187"/>
    </row>
  </sheetData>
  <hyperlinks>
    <hyperlink ref="E3" location="dSU_04005" display="Drawing" xr:uid="{00000000-0004-0000-4700-000000000000}"/>
    <hyperlink ref="G2" location="SU_A0400_BOM" display="Back to BOM" xr:uid="{00000000-0004-0000-4700-000001000000}"/>
    <hyperlink ref="B4" location="SU_A0400" display="Lower Back A-arm" xr:uid="{00000000-0004-0000-47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22.5703125" style="151" customWidth="1"/>
    <col min="2" max="16384" width="11.42578125" style="151"/>
  </cols>
  <sheetData>
    <row r="1" spans="1:2" x14ac:dyDescent="0.25">
      <c r="A1" s="151" t="s">
        <v>99</v>
      </c>
      <c r="B1" s="275" t="s">
        <v>151</v>
      </c>
    </row>
  </sheetData>
  <hyperlinks>
    <hyperlink ref="B1" location="SU_04005" display="SU_04005" xr:uid="{00000000-0004-0000-48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sheetPr>
    <tabColor rgb="FFFFFF66"/>
    <pageSetUpPr fitToPage="1"/>
  </sheetPr>
  <dimension ref="A1:O18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22.140625" customWidth="1"/>
    <col min="3" max="3" width="16.5703125" customWidth="1"/>
    <col min="7" max="7" width="14.28515625" customWidth="1"/>
    <col min="13" max="13" width="13.7109375" customWidth="1"/>
  </cols>
  <sheetData>
    <row r="1" spans="1:15" x14ac:dyDescent="0.25">
      <c r="A1" s="148"/>
      <c r="B1" s="149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188" t="s">
        <v>0</v>
      </c>
      <c r="B2" s="153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N12+I17</f>
        <v>0.80517824000000005</v>
      </c>
      <c r="O2" s="62"/>
    </row>
    <row r="3" spans="1:15" x14ac:dyDescent="0.25">
      <c r="A3" s="188" t="s">
        <v>3</v>
      </c>
      <c r="B3" s="153" t="str">
        <f>'SU A0400'!B3</f>
        <v>Suspension &amp; Shocks</v>
      </c>
      <c r="C3" s="56"/>
      <c r="D3" s="99" t="s">
        <v>6</v>
      </c>
      <c r="E3" s="275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4</v>
      </c>
      <c r="O3" s="62"/>
    </row>
    <row r="4" spans="1:15" x14ac:dyDescent="0.25">
      <c r="A4" s="188" t="s">
        <v>5</v>
      </c>
      <c r="B4" s="87" t="s">
        <v>142</v>
      </c>
      <c r="C4" s="56"/>
      <c r="D4" s="99" t="s">
        <v>8</v>
      </c>
      <c r="E4" s="56"/>
      <c r="F4" s="56"/>
      <c r="G4" s="56"/>
      <c r="H4" s="56"/>
      <c r="I4" s="56"/>
      <c r="J4" s="627" t="s">
        <v>6</v>
      </c>
      <c r="K4" s="56"/>
      <c r="L4" s="56"/>
      <c r="M4" s="56"/>
      <c r="N4" s="56"/>
      <c r="O4" s="62"/>
    </row>
    <row r="5" spans="1:15" x14ac:dyDescent="0.25">
      <c r="A5" s="188" t="s">
        <v>15</v>
      </c>
      <c r="B5" s="159" t="s">
        <v>121</v>
      </c>
      <c r="C5" s="56"/>
      <c r="D5" s="99" t="s">
        <v>12</v>
      </c>
      <c r="E5" s="56"/>
      <c r="F5" s="56"/>
      <c r="G5" s="56"/>
      <c r="H5" s="56"/>
      <c r="I5" s="56"/>
      <c r="J5" s="627" t="s">
        <v>8</v>
      </c>
      <c r="K5" s="56"/>
      <c r="L5" s="56"/>
      <c r="M5" s="99" t="s">
        <v>9</v>
      </c>
      <c r="N5" s="74">
        <f>N3*N2</f>
        <v>3.2207129600000002</v>
      </c>
      <c r="O5" s="62"/>
    </row>
    <row r="6" spans="1:15" x14ac:dyDescent="0.25">
      <c r="A6" s="188" t="s">
        <v>7</v>
      </c>
      <c r="B6" s="191" t="s">
        <v>152</v>
      </c>
      <c r="C6" s="56"/>
      <c r="D6" s="56"/>
      <c r="E6" s="56"/>
      <c r="F6" s="56"/>
      <c r="G6" s="56"/>
      <c r="H6" s="56"/>
      <c r="I6" s="56"/>
      <c r="J6" s="627" t="s">
        <v>12</v>
      </c>
      <c r="K6" s="56"/>
      <c r="L6" s="56"/>
      <c r="M6" s="56"/>
      <c r="N6" s="56"/>
      <c r="O6" s="62"/>
    </row>
    <row r="7" spans="1:15" x14ac:dyDescent="0.25">
      <c r="A7" s="188" t="s">
        <v>10</v>
      </c>
      <c r="B7" s="153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188" t="s">
        <v>13</v>
      </c>
      <c r="B8" s="153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x14ac:dyDescent="0.25">
      <c r="A11" s="310">
        <v>10</v>
      </c>
      <c r="B11" s="509" t="s">
        <v>204</v>
      </c>
      <c r="C11" s="557"/>
      <c r="D11" s="558">
        <v>2.25</v>
      </c>
      <c r="E11" s="362">
        <f>J11*K11*L11</f>
        <v>6.3101440000000009E-2</v>
      </c>
      <c r="F11" s="360" t="s">
        <v>94</v>
      </c>
      <c r="G11" s="360"/>
      <c r="H11" s="361"/>
      <c r="I11" s="362" t="s">
        <v>97</v>
      </c>
      <c r="J11" s="363">
        <f>3.14*8*8/1000000</f>
        <v>2.0096E-4</v>
      </c>
      <c r="K11" s="387">
        <v>0.04</v>
      </c>
      <c r="L11" s="365">
        <v>7850</v>
      </c>
      <c r="M11" s="366">
        <v>1</v>
      </c>
      <c r="N11" s="367">
        <f>D11*E11*M11</f>
        <v>0.14197824000000003</v>
      </c>
      <c r="O11" s="368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0.14197824000000003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5" ht="29.45" customHeight="1" x14ac:dyDescent="0.25">
      <c r="A15" s="327">
        <v>10</v>
      </c>
      <c r="B15" s="327" t="s">
        <v>39</v>
      </c>
      <c r="C15" s="327" t="s">
        <v>68</v>
      </c>
      <c r="D15" s="332">
        <v>1.3</v>
      </c>
      <c r="E15" s="327" t="s">
        <v>32</v>
      </c>
      <c r="F15" s="231">
        <v>1</v>
      </c>
      <c r="G15" s="326" t="s">
        <v>221</v>
      </c>
      <c r="H15" s="326">
        <v>0.5</v>
      </c>
      <c r="I15" s="334">
        <f>IF(H15="",D15*F15,D15*F15*H15)</f>
        <v>0.65</v>
      </c>
      <c r="J15" s="376"/>
      <c r="K15" s="376"/>
      <c r="L15" s="376"/>
      <c r="M15" s="376"/>
      <c r="N15" s="376"/>
      <c r="O15" s="377"/>
    </row>
    <row r="16" spans="1:15" x14ac:dyDescent="0.25">
      <c r="A16" s="385">
        <v>20</v>
      </c>
      <c r="B16" s="385" t="s">
        <v>92</v>
      </c>
      <c r="C16" s="385" t="s">
        <v>196</v>
      </c>
      <c r="D16" s="386">
        <v>0.04</v>
      </c>
      <c r="E16" s="385" t="s">
        <v>93</v>
      </c>
      <c r="F16" s="385">
        <v>0.11</v>
      </c>
      <c r="G16" s="385" t="s">
        <v>197</v>
      </c>
      <c r="H16" s="385">
        <v>3</v>
      </c>
      <c r="I16" s="334">
        <f>IF(H16="",D16*F16,D16*F16*H16)</f>
        <v>1.32E-2</v>
      </c>
      <c r="J16" s="340"/>
      <c r="K16" s="340"/>
      <c r="L16" s="340"/>
      <c r="M16" s="340"/>
      <c r="N16" s="340"/>
      <c r="O16" s="345"/>
    </row>
    <row r="17" spans="1:15" x14ac:dyDescent="0.25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0.66320000000000001</v>
      </c>
      <c r="J17" s="24"/>
      <c r="K17" s="24"/>
      <c r="L17" s="24"/>
      <c r="M17" s="24"/>
      <c r="N17" s="24"/>
      <c r="O17" s="62"/>
    </row>
    <row r="18" spans="1:15" ht="15.75" thickBot="1" x14ac:dyDescent="0.3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2005" display="Drawing" xr:uid="{00000000-0004-0000-4900-000000000000}"/>
    <hyperlink ref="G2" location="SU_A0400_BOM" display="Back to BOM" xr:uid="{00000000-0004-0000-4900-000001000000}"/>
    <hyperlink ref="B4" location="SU_A0400" display="Lower Back A-arm" xr:uid="{00000000-0004-0000-49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3" fitToHeight="99" orientation="landscape" r:id="rId1"/>
  <headerFooter>
    <oddFooter>Page &amp;P</oddFooter>
  </headerFooter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5" t="s">
        <v>152</v>
      </c>
    </row>
  </sheetData>
  <hyperlinks>
    <hyperlink ref="B1" location="SU_04006" display="SU_04006" xr:uid="{00000000-0004-0000-4A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0-000000000000}">
  <sheetPr>
    <tabColor rgb="FFFFFF66"/>
    <pageSetUpPr fitToPage="1"/>
  </sheetPr>
  <dimension ref="A1:Q17"/>
  <sheetViews>
    <sheetView zoomScale="90" zoomScaleNormal="90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11.42578125" style="151"/>
    <col min="2" max="2" width="28.7109375" style="151" customWidth="1"/>
    <col min="3" max="3" width="24.28515625" style="151" customWidth="1"/>
    <col min="4" max="8" width="11.42578125" style="151"/>
    <col min="9" max="9" width="15.28515625" style="151" customWidth="1"/>
    <col min="10" max="16" width="11.42578125" style="151"/>
    <col min="17" max="17" width="12.85546875" style="151" bestFit="1" customWidth="1"/>
    <col min="18" max="16384" width="11.42578125" style="151"/>
  </cols>
  <sheetData>
    <row r="1" spans="1:17" x14ac:dyDescent="0.25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7" x14ac:dyDescent="0.25">
      <c r="A2" s="188" t="s">
        <v>0</v>
      </c>
      <c r="B2" s="153" t="s">
        <v>37</v>
      </c>
      <c r="C2" s="154"/>
      <c r="D2" s="154"/>
      <c r="E2" s="154"/>
      <c r="F2" s="154"/>
      <c r="G2" s="87" t="s">
        <v>62</v>
      </c>
      <c r="H2" s="154"/>
      <c r="I2" s="154"/>
      <c r="J2" s="189" t="s">
        <v>1</v>
      </c>
      <c r="K2" s="155">
        <v>81</v>
      </c>
      <c r="L2" s="154"/>
      <c r="M2" s="188" t="s">
        <v>16</v>
      </c>
      <c r="N2" s="74">
        <f>N12+I16</f>
        <v>0.47719727680000001</v>
      </c>
      <c r="O2" s="156"/>
    </row>
    <row r="3" spans="1:17" x14ac:dyDescent="0.25">
      <c r="A3" s="188" t="s">
        <v>3</v>
      </c>
      <c r="B3" s="153" t="str">
        <f>'SU A0400'!B3</f>
        <v>Suspension &amp; Shocks</v>
      </c>
      <c r="C3" s="154"/>
      <c r="D3" s="188" t="s">
        <v>6</v>
      </c>
      <c r="E3" s="275" t="s">
        <v>60</v>
      </c>
      <c r="F3" s="154"/>
      <c r="G3" s="154"/>
      <c r="H3" s="154"/>
      <c r="I3" s="154"/>
      <c r="J3" s="154"/>
      <c r="K3" s="154"/>
      <c r="L3" s="154"/>
      <c r="M3" s="188" t="s">
        <v>4</v>
      </c>
      <c r="N3" s="82">
        <v>2</v>
      </c>
      <c r="O3" s="156"/>
    </row>
    <row r="4" spans="1:17" x14ac:dyDescent="0.25">
      <c r="A4" s="188" t="s">
        <v>5</v>
      </c>
      <c r="B4" s="87" t="s">
        <v>142</v>
      </c>
      <c r="C4" s="154"/>
      <c r="D4" s="188" t="s">
        <v>8</v>
      </c>
      <c r="E4" s="154"/>
      <c r="F4" s="154"/>
      <c r="G4" s="154"/>
      <c r="H4" s="154"/>
      <c r="I4" s="154"/>
      <c r="J4" s="190" t="s">
        <v>6</v>
      </c>
      <c r="K4" s="154"/>
      <c r="L4" s="154"/>
      <c r="M4" s="154"/>
      <c r="N4" s="154"/>
      <c r="O4" s="156"/>
    </row>
    <row r="5" spans="1:17" x14ac:dyDescent="0.25">
      <c r="A5" s="188" t="s">
        <v>15</v>
      </c>
      <c r="B5" s="161" t="s">
        <v>69</v>
      </c>
      <c r="C5" s="154"/>
      <c r="D5" s="188" t="s">
        <v>12</v>
      </c>
      <c r="E5" s="154"/>
      <c r="F5" s="154"/>
      <c r="G5" s="154"/>
      <c r="H5" s="154"/>
      <c r="I5" s="154"/>
      <c r="J5" s="190" t="s">
        <v>8</v>
      </c>
      <c r="K5" s="154"/>
      <c r="L5" s="154"/>
      <c r="M5" s="188" t="s">
        <v>9</v>
      </c>
      <c r="N5" s="74">
        <f>N3*N2</f>
        <v>0.95439455360000003</v>
      </c>
      <c r="O5" s="156"/>
    </row>
    <row r="6" spans="1:17" x14ac:dyDescent="0.25">
      <c r="A6" s="188" t="s">
        <v>7</v>
      </c>
      <c r="B6" s="191" t="s">
        <v>248</v>
      </c>
      <c r="C6" s="154"/>
      <c r="D6" s="154"/>
      <c r="E6" s="154"/>
      <c r="F6" s="154"/>
      <c r="G6" s="154"/>
      <c r="H6" s="154"/>
      <c r="I6" s="154"/>
      <c r="J6" s="190" t="s">
        <v>12</v>
      </c>
      <c r="K6" s="154"/>
      <c r="L6" s="154"/>
      <c r="M6" s="154"/>
      <c r="N6" s="154"/>
      <c r="O6" s="156"/>
    </row>
    <row r="7" spans="1:17" x14ac:dyDescent="0.25">
      <c r="A7" s="188" t="s">
        <v>10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7" x14ac:dyDescent="0.25">
      <c r="A8" s="188" t="s">
        <v>13</v>
      </c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7" x14ac:dyDescent="0.25">
      <c r="A9" s="192"/>
      <c r="B9" s="193"/>
      <c r="C9" s="193"/>
      <c r="D9" s="193"/>
      <c r="E9" s="193"/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7" x14ac:dyDescent="0.25">
      <c r="A10" s="353" t="s">
        <v>14</v>
      </c>
      <c r="B10" s="354" t="s">
        <v>19</v>
      </c>
      <c r="C10" s="354" t="s">
        <v>20</v>
      </c>
      <c r="D10" s="354" t="s">
        <v>21</v>
      </c>
      <c r="E10" s="354" t="s">
        <v>22</v>
      </c>
      <c r="F10" s="355" t="s">
        <v>23</v>
      </c>
      <c r="G10" s="355" t="s">
        <v>24</v>
      </c>
      <c r="H10" s="355" t="s">
        <v>25</v>
      </c>
      <c r="I10" s="355" t="s">
        <v>26</v>
      </c>
      <c r="J10" s="355" t="s">
        <v>27</v>
      </c>
      <c r="K10" s="355" t="s">
        <v>28</v>
      </c>
      <c r="L10" s="355" t="s">
        <v>29</v>
      </c>
      <c r="M10" s="355" t="s">
        <v>17</v>
      </c>
      <c r="N10" s="355" t="s">
        <v>18</v>
      </c>
      <c r="O10" s="345"/>
    </row>
    <row r="11" spans="1:17" ht="30" x14ac:dyDescent="0.25">
      <c r="A11" s="389">
        <v>10</v>
      </c>
      <c r="B11" s="390" t="s">
        <v>200</v>
      </c>
      <c r="C11" s="389" t="s">
        <v>201</v>
      </c>
      <c r="D11" s="391">
        <v>4.2</v>
      </c>
      <c r="E11" s="392">
        <v>12</v>
      </c>
      <c r="F11" s="389" t="s">
        <v>30</v>
      </c>
      <c r="G11" s="389"/>
      <c r="H11" s="393"/>
      <c r="I11" s="394" t="s">
        <v>549</v>
      </c>
      <c r="J11" s="395">
        <f>3.14*0.006^2</f>
        <v>1.1304E-4</v>
      </c>
      <c r="K11" s="396">
        <v>0.06</v>
      </c>
      <c r="L11" s="401">
        <v>2710</v>
      </c>
      <c r="M11" s="397">
        <v>1</v>
      </c>
      <c r="N11" s="334">
        <f>IF(J11="",D11*M11,D11*J11*K11*L11*M11)</f>
        <v>7.7197276800000006E-2</v>
      </c>
      <c r="O11" s="402"/>
    </row>
    <row r="12" spans="1:17" x14ac:dyDescent="0.25">
      <c r="A12" s="175"/>
      <c r="B12" s="176"/>
      <c r="C12" s="176"/>
      <c r="D12" s="176"/>
      <c r="E12" s="176"/>
      <c r="F12" s="176"/>
      <c r="G12" s="176"/>
      <c r="H12" s="176"/>
      <c r="I12" s="176"/>
      <c r="J12" s="176"/>
      <c r="K12" s="176"/>
      <c r="L12" s="176"/>
      <c r="M12" s="201" t="s">
        <v>18</v>
      </c>
      <c r="N12" s="202">
        <f>SUM(N11:N11)</f>
        <v>7.7197276800000006E-2</v>
      </c>
      <c r="O12" s="156"/>
    </row>
    <row r="13" spans="1:17" x14ac:dyDescent="0.25">
      <c r="A13" s="160"/>
      <c r="B13" s="154"/>
      <c r="C13" s="154"/>
      <c r="D13" s="154"/>
      <c r="E13" s="154"/>
      <c r="F13" s="154"/>
      <c r="G13" s="154"/>
      <c r="H13" s="154"/>
      <c r="I13" s="154"/>
      <c r="J13" s="154"/>
      <c r="K13" s="154"/>
      <c r="L13" s="154"/>
      <c r="M13" s="154"/>
      <c r="N13" s="154"/>
      <c r="O13" s="156"/>
      <c r="Q13" s="203"/>
    </row>
    <row r="14" spans="1:17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7" x14ac:dyDescent="0.25">
      <c r="A15" s="330">
        <v>10</v>
      </c>
      <c r="B15" s="327" t="s">
        <v>199</v>
      </c>
      <c r="C15" s="398"/>
      <c r="D15" s="399">
        <v>0.4</v>
      </c>
      <c r="E15" s="330" t="s">
        <v>40</v>
      </c>
      <c r="F15" s="330">
        <v>1</v>
      </c>
      <c r="G15" s="330"/>
      <c r="H15" s="330"/>
      <c r="I15" s="400">
        <f>IF(H15="",D15*F15,D15*F15*H15)</f>
        <v>0.4</v>
      </c>
      <c r="J15" s="376"/>
      <c r="K15" s="376"/>
      <c r="L15" s="376"/>
      <c r="M15" s="376"/>
      <c r="N15" s="376"/>
      <c r="O15" s="377"/>
    </row>
    <row r="16" spans="1:17" x14ac:dyDescent="0.25">
      <c r="A16" s="175"/>
      <c r="B16" s="176"/>
      <c r="C16" s="176"/>
      <c r="D16" s="176"/>
      <c r="E16" s="176"/>
      <c r="F16" s="176"/>
      <c r="G16" s="176"/>
      <c r="H16" s="208" t="s">
        <v>18</v>
      </c>
      <c r="I16" s="202">
        <f>SUM(I15:I15)</f>
        <v>0.4</v>
      </c>
      <c r="J16" s="176"/>
      <c r="K16" s="176"/>
      <c r="L16" s="176"/>
      <c r="M16" s="176"/>
      <c r="N16" s="176"/>
      <c r="O16" s="156"/>
    </row>
    <row r="17" spans="1:15" ht="15.75" thickBot="1" x14ac:dyDescent="0.3">
      <c r="A17" s="185"/>
      <c r="B17" s="186"/>
      <c r="C17" s="186"/>
      <c r="D17" s="186"/>
      <c r="E17" s="186"/>
      <c r="F17" s="186"/>
      <c r="G17" s="186"/>
      <c r="H17" s="186"/>
      <c r="I17" s="186"/>
      <c r="J17" s="186"/>
      <c r="K17" s="186"/>
      <c r="L17" s="186"/>
      <c r="M17" s="186"/>
      <c r="N17" s="186"/>
      <c r="O17" s="187"/>
    </row>
  </sheetData>
  <hyperlinks>
    <hyperlink ref="E3" location="dSU_04007" display="Drawing" xr:uid="{00000000-0004-0000-4B00-000000000000}"/>
    <hyperlink ref="G2" location="SU_A0400_BOM" display="Back to BOM" xr:uid="{00000000-0004-0000-4B00-000001000000}"/>
    <hyperlink ref="B4" location="SU_A0400" display="Lower Back A-arm" xr:uid="{00000000-0004-0000-4B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9" fitToHeight="99" orientation="landscape" r:id="rId1"/>
  <headerFooter>
    <oddFooter>Page &amp;P</oddFooter>
  </headerFooter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ColWidth="11.42578125" defaultRowHeight="15" x14ac:dyDescent="0.25"/>
  <cols>
    <col min="1" max="1" width="20" style="151" customWidth="1"/>
    <col min="2" max="16384" width="11.42578125" style="151"/>
  </cols>
  <sheetData>
    <row r="1" spans="1:2" x14ac:dyDescent="0.25">
      <c r="A1" s="151" t="s">
        <v>99</v>
      </c>
      <c r="B1" s="275" t="s">
        <v>248</v>
      </c>
    </row>
  </sheetData>
  <hyperlinks>
    <hyperlink ref="B1" location="SU_04007" display="SU_04006" xr:uid="{00000000-0004-0000-4C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23.42578125" customWidth="1"/>
    <col min="3" max="3" width="16.140625" customWidth="1"/>
    <col min="7" max="7" width="17" customWidth="1"/>
    <col min="9" max="9" width="13.28515625" customWidth="1"/>
  </cols>
  <sheetData>
    <row r="1" spans="1:15" x14ac:dyDescent="0.25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25">
      <c r="A2" s="419" t="s">
        <v>0</v>
      </c>
      <c r="B2" s="153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1.3905750000000001</v>
      </c>
      <c r="O2" s="422"/>
    </row>
    <row r="3" spans="1:15" x14ac:dyDescent="0.25">
      <c r="A3" s="419" t="s">
        <v>3</v>
      </c>
      <c r="B3" s="153" t="str">
        <f>'SU A0400'!B3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25">
      <c r="A4" s="419" t="s">
        <v>5</v>
      </c>
      <c r="B4" s="87" t="s">
        <v>142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25">
      <c r="A5" s="419" t="s">
        <v>15</v>
      </c>
      <c r="B5" s="424" t="s">
        <v>215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1.3905750000000001</v>
      </c>
      <c r="O5" s="422"/>
    </row>
    <row r="6" spans="1:15" x14ac:dyDescent="0.25">
      <c r="A6" s="419" t="s">
        <v>7</v>
      </c>
      <c r="B6" s="425" t="s">
        <v>258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25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25">
      <c r="A8" s="419" t="s">
        <v>13</v>
      </c>
      <c r="B8" s="403" t="s">
        <v>203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25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25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28.9" customHeight="1" x14ac:dyDescent="0.25">
      <c r="A11" s="426">
        <v>10</v>
      </c>
      <c r="B11" s="427" t="s">
        <v>204</v>
      </c>
      <c r="C11" s="428" t="s">
        <v>205</v>
      </c>
      <c r="D11" s="429">
        <v>2.25</v>
      </c>
      <c r="E11" s="430">
        <f>J11*K11*L11</f>
        <v>4.710000000000001E-2</v>
      </c>
      <c r="F11" s="431" t="s">
        <v>141</v>
      </c>
      <c r="G11" s="431"/>
      <c r="H11" s="432"/>
      <c r="I11" s="433" t="s">
        <v>259</v>
      </c>
      <c r="J11" s="434">
        <f>0.05*0.024</f>
        <v>1.2000000000000001E-3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0.10597500000000001</v>
      </c>
      <c r="O11" s="422"/>
    </row>
    <row r="12" spans="1:15" x14ac:dyDescent="0.25">
      <c r="A12" s="426">
        <v>20</v>
      </c>
      <c r="B12" s="427" t="s">
        <v>207</v>
      </c>
      <c r="C12" s="428"/>
      <c r="D12" s="411">
        <v>10</v>
      </c>
      <c r="E12" s="412">
        <f>2*J11</f>
        <v>2.4000000000000002E-3</v>
      </c>
      <c r="F12" s="437" t="s">
        <v>202</v>
      </c>
      <c r="G12" s="431"/>
      <c r="H12" s="432"/>
      <c r="I12" s="433"/>
      <c r="J12" s="434"/>
      <c r="K12" s="432"/>
      <c r="L12" s="435"/>
      <c r="M12" s="435"/>
      <c r="N12" s="436">
        <f>E12*D12</f>
        <v>2.4E-2</v>
      </c>
      <c r="O12" s="422"/>
    </row>
    <row r="13" spans="1:15" x14ac:dyDescent="0.25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0.12997500000000001</v>
      </c>
      <c r="O13" s="422"/>
    </row>
    <row r="14" spans="1:15" x14ac:dyDescent="0.25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25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30" customHeight="1" x14ac:dyDescent="0.25">
      <c r="A16" s="438">
        <v>10</v>
      </c>
      <c r="B16" s="439" t="s">
        <v>39</v>
      </c>
      <c r="C16" s="440" t="s">
        <v>208</v>
      </c>
      <c r="D16" s="441">
        <v>1.3</v>
      </c>
      <c r="E16" s="439" t="s">
        <v>32</v>
      </c>
      <c r="F16" s="299">
        <v>1</v>
      </c>
      <c r="G16" s="440" t="s">
        <v>220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25">
      <c r="A17" s="444">
        <v>20</v>
      </c>
      <c r="B17" s="445" t="s">
        <v>209</v>
      </c>
      <c r="C17" s="296"/>
      <c r="D17" s="441">
        <v>0.01</v>
      </c>
      <c r="E17" s="445" t="s">
        <v>40</v>
      </c>
      <c r="F17" s="446">
        <v>15.3</v>
      </c>
      <c r="G17" s="439"/>
      <c r="H17" s="442"/>
      <c r="I17" s="443">
        <f>IF(H17="",D17*F17,D17*F17*H17)</f>
        <v>0.153</v>
      </c>
      <c r="J17" s="299"/>
      <c r="K17" s="403"/>
      <c r="L17" s="403"/>
      <c r="M17" s="403"/>
      <c r="N17" s="403"/>
      <c r="O17" s="422"/>
    </row>
    <row r="18" spans="1:15" ht="31.15" customHeight="1" x14ac:dyDescent="0.25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220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25">
      <c r="A19" s="444">
        <v>40</v>
      </c>
      <c r="B19" s="448" t="s">
        <v>92</v>
      </c>
      <c r="C19" s="448" t="s">
        <v>219</v>
      </c>
      <c r="D19" s="449">
        <v>0.04</v>
      </c>
      <c r="E19" s="448" t="s">
        <v>93</v>
      </c>
      <c r="F19" s="448">
        <v>1</v>
      </c>
      <c r="G19" s="448" t="s">
        <v>197</v>
      </c>
      <c r="H19" s="448">
        <v>3</v>
      </c>
      <c r="I19" s="450">
        <f t="shared" si="0"/>
        <v>0.12</v>
      </c>
      <c r="J19" s="302"/>
      <c r="K19" s="414"/>
      <c r="L19" s="414"/>
      <c r="M19" s="414"/>
      <c r="N19" s="414"/>
      <c r="O19" s="422"/>
    </row>
    <row r="20" spans="1:15" x14ac:dyDescent="0.25">
      <c r="A20" s="438">
        <v>50</v>
      </c>
      <c r="B20" s="439" t="s">
        <v>162</v>
      </c>
      <c r="C20" s="296" t="s">
        <v>210</v>
      </c>
      <c r="D20" s="303">
        <v>5.25</v>
      </c>
      <c r="E20" s="439" t="s">
        <v>202</v>
      </c>
      <c r="F20" s="451">
        <f>2*J11</f>
        <v>2.4000000000000002E-3</v>
      </c>
      <c r="G20" s="439"/>
      <c r="H20" s="442"/>
      <c r="I20" s="450">
        <f>F20*D20</f>
        <v>1.2600000000000002E-2</v>
      </c>
      <c r="J20" s="452"/>
      <c r="K20" s="453"/>
      <c r="L20" s="453"/>
      <c r="M20" s="453"/>
      <c r="N20" s="453"/>
      <c r="O20" s="422"/>
    </row>
    <row r="21" spans="1:15" x14ac:dyDescent="0.25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1.2606000000000002</v>
      </c>
      <c r="J21" s="453"/>
      <c r="K21" s="453"/>
      <c r="L21" s="453"/>
      <c r="M21" s="453"/>
      <c r="N21" s="453"/>
      <c r="O21" s="422"/>
    </row>
    <row r="22" spans="1:15" ht="15.75" thickBot="1" x14ac:dyDescent="0.3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E3" location="dSU_04008" display="Drawing" xr:uid="{00000000-0004-0000-4D00-000000000000}"/>
    <hyperlink ref="F2" location="SU_A0400_BOM" display="Back to BOM" xr:uid="{00000000-0004-0000-4D00-000001000000}"/>
    <hyperlink ref="B4" location="SU_A0400" display="Lower Back A-arm" xr:uid="{00000000-0004-0000-4D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2" fitToHeight="99" orientation="landscape" r:id="rId1"/>
  <headerFooter>
    <oddFooter>Page &amp;P</oddFooter>
  </headerFooter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3.28515625" customWidth="1"/>
  </cols>
  <sheetData>
    <row r="1" spans="1:2" x14ac:dyDescent="0.25">
      <c r="A1" s="151" t="s">
        <v>99</v>
      </c>
      <c r="B1" s="275" t="s">
        <v>249</v>
      </c>
    </row>
  </sheetData>
  <hyperlinks>
    <hyperlink ref="B1" location="SU_04008" display="SU_04008" xr:uid="{00000000-0004-0000-4E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FFFF66"/>
    <pageSetUpPr fitToPage="1"/>
  </sheetPr>
  <dimension ref="A1:O17"/>
  <sheetViews>
    <sheetView zoomScale="80" zoomScaleNormal="80" zoomScalePageLayoutView="70" workbookViewId="0">
      <selection activeCell="E2" sqref="E2"/>
    </sheetView>
  </sheetViews>
  <sheetFormatPr baseColWidth="10" defaultRowHeight="15" x14ac:dyDescent="0.25"/>
  <cols>
    <col min="2" max="2" width="33.85546875" customWidth="1"/>
    <col min="3" max="3" width="17.140625" customWidth="1"/>
    <col min="5" max="5" width="10.28515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N12+I16</f>
        <v>7.1887787999999988</v>
      </c>
      <c r="O2" s="62"/>
    </row>
    <row r="3" spans="1:15" x14ac:dyDescent="0.25">
      <c r="A3" s="99" t="s">
        <v>3</v>
      </c>
      <c r="B3" s="16" t="str">
        <f>'SU A0100'!B3</f>
        <v>Suspension &amp; Shocks</v>
      </c>
      <c r="C3" s="56"/>
      <c r="D3" s="99" t="s">
        <v>6</v>
      </c>
      <c r="E3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5" x14ac:dyDescent="0.25">
      <c r="A4" s="99" t="s">
        <v>5</v>
      </c>
      <c r="B4" s="87" t="str">
        <f>'SU A0100'!B4</f>
        <v>Upper Front A-arm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25">
      <c r="A5" s="99" t="s">
        <v>15</v>
      </c>
      <c r="B5" s="73" t="s">
        <v>86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7.1887787999999988</v>
      </c>
      <c r="O5" s="62"/>
    </row>
    <row r="6" spans="1:15" x14ac:dyDescent="0.25">
      <c r="A6" s="99" t="s">
        <v>7</v>
      </c>
      <c r="B6" s="28" t="s">
        <v>103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x14ac:dyDescent="0.25">
      <c r="A11" s="85">
        <v>10</v>
      </c>
      <c r="B11" s="141" t="s">
        <v>117</v>
      </c>
      <c r="C11" s="142" t="s">
        <v>118</v>
      </c>
      <c r="D11" s="145">
        <v>200</v>
      </c>
      <c r="E11" s="21">
        <f>J11*K11*L11</f>
        <v>3.1950127999999994E-2</v>
      </c>
      <c r="F11" s="20" t="s">
        <v>94</v>
      </c>
      <c r="G11" s="20"/>
      <c r="H11" s="19"/>
      <c r="I11" s="21" t="s">
        <v>96</v>
      </c>
      <c r="J11" s="247">
        <f>3.14*(0.008*0.008-0.006*0.006)</f>
        <v>8.7919999999999985E-5</v>
      </c>
      <c r="K11" s="75">
        <v>0.23</v>
      </c>
      <c r="L11" s="79">
        <v>1580</v>
      </c>
      <c r="M11" s="143">
        <v>1</v>
      </c>
      <c r="N11" s="30">
        <f>D11*M11*E11</f>
        <v>6.3900255999999986</v>
      </c>
      <c r="O11" s="66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6.3900255999999986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5" x14ac:dyDescent="0.25">
      <c r="A15" s="141">
        <v>10</v>
      </c>
      <c r="B15" s="141" t="s">
        <v>139</v>
      </c>
      <c r="C15" s="141" t="s">
        <v>140</v>
      </c>
      <c r="D15" s="217">
        <v>25</v>
      </c>
      <c r="E15" s="216" t="s">
        <v>141</v>
      </c>
      <c r="F15" s="258">
        <f>J11*K11*L11</f>
        <v>3.1950127999999994E-2</v>
      </c>
      <c r="G15" s="215"/>
      <c r="H15" s="215"/>
      <c r="I15" s="218">
        <f>IF(H15="",D15*F15,D15*F15*H15)</f>
        <v>0.79875319999999983</v>
      </c>
      <c r="J15" s="58"/>
      <c r="K15" s="58"/>
      <c r="L15" s="58"/>
      <c r="M15" s="58"/>
      <c r="N15" s="58"/>
      <c r="O15" s="68"/>
    </row>
    <row r="16" spans="1:15" x14ac:dyDescent="0.25">
      <c r="A16" s="67"/>
      <c r="B16" s="24"/>
      <c r="C16" s="24"/>
      <c r="D16" s="24"/>
      <c r="E16" s="24"/>
      <c r="F16" s="24"/>
      <c r="G16" s="24"/>
      <c r="H16" s="108" t="s">
        <v>18</v>
      </c>
      <c r="I16" s="106">
        <f>SUM(I15:I15)</f>
        <v>0.79875319999999983</v>
      </c>
      <c r="J16" s="24"/>
      <c r="K16" s="24"/>
      <c r="L16" s="24"/>
      <c r="M16" s="24"/>
      <c r="N16" s="24"/>
      <c r="O16" s="62"/>
    </row>
    <row r="17" spans="1:15" ht="15.75" thickBot="1" x14ac:dyDescent="0.3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'SU A0100'!A1" display="'SU A0100'!A1" xr:uid="{00000000-0004-0000-0700-000000000000}"/>
    <hyperlink ref="G2" location="SU_A0100_BOM" display="Back to BOM" xr:uid="{00000000-0004-0000-07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1" fitToHeight="99" orientation="landscape" r:id="rId1"/>
  <headerFooter>
    <oddFooter>Page &amp;P</oddFooter>
  </headerFooter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17.7109375" customWidth="1"/>
    <col min="3" max="3" width="16.7109375" customWidth="1"/>
    <col min="7" max="7" width="17.7109375" customWidth="1"/>
    <col min="9" max="9" width="14.7109375" customWidth="1"/>
  </cols>
  <sheetData>
    <row r="1" spans="1:15" x14ac:dyDescent="0.25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25">
      <c r="A2" s="419" t="s">
        <v>0</v>
      </c>
      <c r="B2" s="153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1.3814265000000003</v>
      </c>
      <c r="O2" s="422"/>
    </row>
    <row r="3" spans="1:15" x14ac:dyDescent="0.25">
      <c r="A3" s="419" t="s">
        <v>3</v>
      </c>
      <c r="B3" s="153" t="str">
        <f>'SU A0400'!B3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25">
      <c r="A4" s="419" t="s">
        <v>5</v>
      </c>
      <c r="B4" s="87" t="s">
        <v>142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25">
      <c r="A5" s="419" t="s">
        <v>15</v>
      </c>
      <c r="B5" s="424" t="s">
        <v>216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1.3814265000000003</v>
      </c>
      <c r="O5" s="422"/>
    </row>
    <row r="6" spans="1:15" x14ac:dyDescent="0.25">
      <c r="A6" s="419" t="s">
        <v>7</v>
      </c>
      <c r="B6" s="425" t="s">
        <v>260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25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25">
      <c r="A8" s="419" t="s">
        <v>13</v>
      </c>
      <c r="B8" s="403" t="s">
        <v>203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25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25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28.9" customHeight="1" x14ac:dyDescent="0.25">
      <c r="A11" s="426">
        <v>10</v>
      </c>
      <c r="B11" s="427" t="s">
        <v>204</v>
      </c>
      <c r="C11" s="428" t="s">
        <v>205</v>
      </c>
      <c r="D11" s="429">
        <v>2.25</v>
      </c>
      <c r="E11" s="430">
        <f>J11*K11*L11</f>
        <v>4.8042000000000008E-2</v>
      </c>
      <c r="F11" s="431" t="s">
        <v>141</v>
      </c>
      <c r="G11" s="431"/>
      <c r="H11" s="432"/>
      <c r="I11" s="433" t="s">
        <v>261</v>
      </c>
      <c r="J11" s="434">
        <f>0.051*0.024</f>
        <v>1.224E-3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0.1080945</v>
      </c>
      <c r="O11" s="422"/>
    </row>
    <row r="12" spans="1:15" x14ac:dyDescent="0.25">
      <c r="A12" s="426">
        <v>20</v>
      </c>
      <c r="B12" s="427" t="s">
        <v>207</v>
      </c>
      <c r="C12" s="428"/>
      <c r="D12" s="411">
        <v>10</v>
      </c>
      <c r="E12" s="412">
        <f>2*J11</f>
        <v>2.4480000000000001E-3</v>
      </c>
      <c r="F12" s="437" t="s">
        <v>202</v>
      </c>
      <c r="G12" s="431"/>
      <c r="H12" s="432"/>
      <c r="I12" s="433"/>
      <c r="J12" s="434"/>
      <c r="K12" s="432"/>
      <c r="L12" s="435"/>
      <c r="M12" s="435"/>
      <c r="N12" s="436">
        <f>E12*D12</f>
        <v>2.4480000000000002E-2</v>
      </c>
      <c r="O12" s="422"/>
    </row>
    <row r="13" spans="1:15" x14ac:dyDescent="0.25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0.13257449999999998</v>
      </c>
      <c r="O13" s="422"/>
    </row>
    <row r="14" spans="1:15" x14ac:dyDescent="0.25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25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30" customHeight="1" x14ac:dyDescent="0.25">
      <c r="A16" s="438">
        <v>10</v>
      </c>
      <c r="B16" s="439" t="s">
        <v>39</v>
      </c>
      <c r="C16" s="440" t="s">
        <v>208</v>
      </c>
      <c r="D16" s="441">
        <v>1.3</v>
      </c>
      <c r="E16" s="439" t="s">
        <v>32</v>
      </c>
      <c r="F16" s="299">
        <v>1</v>
      </c>
      <c r="G16" s="440" t="s">
        <v>220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25">
      <c r="A17" s="444">
        <v>20</v>
      </c>
      <c r="B17" s="445" t="s">
        <v>209</v>
      </c>
      <c r="C17" s="296"/>
      <c r="D17" s="441">
        <v>0.01</v>
      </c>
      <c r="E17" s="445" t="s">
        <v>40</v>
      </c>
      <c r="F17" s="446">
        <v>14.1</v>
      </c>
      <c r="G17" s="439"/>
      <c r="H17" s="442"/>
      <c r="I17" s="443">
        <f>IF(H17="",D17*F17,D17*F17*H17)</f>
        <v>0.14099999999999999</v>
      </c>
      <c r="J17" s="299"/>
      <c r="K17" s="403"/>
      <c r="L17" s="403"/>
      <c r="M17" s="403"/>
      <c r="N17" s="403"/>
      <c r="O17" s="422"/>
    </row>
    <row r="18" spans="1:15" ht="31.15" customHeight="1" x14ac:dyDescent="0.25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220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25">
      <c r="A19" s="444">
        <v>40</v>
      </c>
      <c r="B19" s="448" t="s">
        <v>92</v>
      </c>
      <c r="C19" s="448" t="s">
        <v>219</v>
      </c>
      <c r="D19" s="449">
        <v>0.04</v>
      </c>
      <c r="E19" s="448" t="s">
        <v>93</v>
      </c>
      <c r="F19" s="448">
        <v>1</v>
      </c>
      <c r="G19" s="448" t="s">
        <v>197</v>
      </c>
      <c r="H19" s="448">
        <v>3</v>
      </c>
      <c r="I19" s="450">
        <f t="shared" si="0"/>
        <v>0.12</v>
      </c>
      <c r="J19" s="302"/>
      <c r="K19" s="414"/>
      <c r="L19" s="414"/>
      <c r="M19" s="414"/>
      <c r="N19" s="414"/>
      <c r="O19" s="422"/>
    </row>
    <row r="20" spans="1:15" x14ac:dyDescent="0.25">
      <c r="A20" s="438">
        <v>50</v>
      </c>
      <c r="B20" s="439" t="s">
        <v>162</v>
      </c>
      <c r="C20" s="296" t="s">
        <v>210</v>
      </c>
      <c r="D20" s="303">
        <v>5.25</v>
      </c>
      <c r="E20" s="439" t="s">
        <v>202</v>
      </c>
      <c r="F20" s="451">
        <f>2*J11</f>
        <v>2.4480000000000001E-3</v>
      </c>
      <c r="G20" s="439"/>
      <c r="H20" s="442"/>
      <c r="I20" s="450">
        <f>F20*D20</f>
        <v>1.2852000000000001E-2</v>
      </c>
      <c r="J20" s="452"/>
      <c r="K20" s="453"/>
      <c r="L20" s="453"/>
      <c r="M20" s="453"/>
      <c r="N20" s="453"/>
      <c r="O20" s="422"/>
    </row>
    <row r="21" spans="1:15" x14ac:dyDescent="0.25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1.2488520000000003</v>
      </c>
      <c r="J21" s="453"/>
      <c r="K21" s="453"/>
      <c r="L21" s="453"/>
      <c r="M21" s="453"/>
      <c r="N21" s="453"/>
      <c r="O21" s="422"/>
    </row>
    <row r="22" spans="1:15" ht="15.75" thickBot="1" x14ac:dyDescent="0.3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E3" location="dSU_04009" display="Drawing" xr:uid="{00000000-0004-0000-4F00-000000000000}"/>
    <hyperlink ref="F2" location="SU_A0400_BOM" display="Back to BOM" xr:uid="{00000000-0004-0000-4F00-000001000000}"/>
    <hyperlink ref="B4" location="SU_A0400" display="Lower Back A-arm" xr:uid="{00000000-0004-0000-4F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3" fitToHeight="99" orientation="landscape" r:id="rId1"/>
  <headerFooter>
    <oddFooter>Page &amp;P</oddFooter>
  </headerFooter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5" t="s">
        <v>264</v>
      </c>
    </row>
  </sheetData>
  <hyperlinks>
    <hyperlink ref="B1" location="SU_04009" display="SU_04009" xr:uid="{00000000-0004-0000-50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1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18.28515625" customWidth="1"/>
    <col min="3" max="3" width="18.85546875" customWidth="1"/>
    <col min="7" max="7" width="18.7109375" customWidth="1"/>
    <col min="9" max="9" width="13.28515625" customWidth="1"/>
  </cols>
  <sheetData>
    <row r="1" spans="1:15" x14ac:dyDescent="0.25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25">
      <c r="A2" s="419" t="s">
        <v>0</v>
      </c>
      <c r="B2" s="153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1.8130709999999999</v>
      </c>
      <c r="O2" s="422"/>
    </row>
    <row r="3" spans="1:15" x14ac:dyDescent="0.25">
      <c r="A3" s="419" t="s">
        <v>3</v>
      </c>
      <c r="B3" s="153" t="str">
        <f>'SU A0400'!B3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25">
      <c r="A4" s="419" t="s">
        <v>5</v>
      </c>
      <c r="B4" s="87" t="s">
        <v>142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25">
      <c r="A5" s="419" t="s">
        <v>15</v>
      </c>
      <c r="B5" s="424" t="s">
        <v>217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1.8130709999999999</v>
      </c>
      <c r="O5" s="422"/>
    </row>
    <row r="6" spans="1:15" x14ac:dyDescent="0.25">
      <c r="A6" s="419" t="s">
        <v>7</v>
      </c>
      <c r="B6" s="425" t="s">
        <v>266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25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25">
      <c r="A8" s="419" t="s">
        <v>13</v>
      </c>
      <c r="B8" s="403" t="s">
        <v>203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25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25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45" x14ac:dyDescent="0.25">
      <c r="A11" s="628">
        <v>10</v>
      </c>
      <c r="B11" s="427" t="s">
        <v>204</v>
      </c>
      <c r="C11" s="428" t="s">
        <v>205</v>
      </c>
      <c r="D11" s="429">
        <v>2.25</v>
      </c>
      <c r="E11" s="430">
        <f>J11*K11*L11</f>
        <v>0.107388</v>
      </c>
      <c r="F11" s="431" t="s">
        <v>141</v>
      </c>
      <c r="G11" s="431"/>
      <c r="H11" s="432"/>
      <c r="I11" s="433" t="s">
        <v>262</v>
      </c>
      <c r="J11" s="434">
        <f>0.038*0.072</f>
        <v>2.7359999999999997E-3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0.24162299999999995</v>
      </c>
      <c r="O11" s="422"/>
    </row>
    <row r="12" spans="1:15" x14ac:dyDescent="0.25">
      <c r="A12" s="426">
        <v>20</v>
      </c>
      <c r="B12" s="427" t="s">
        <v>207</v>
      </c>
      <c r="C12" s="428"/>
      <c r="D12" s="411">
        <v>10</v>
      </c>
      <c r="E12" s="412">
        <f>2*J11</f>
        <v>5.4719999999999994E-3</v>
      </c>
      <c r="F12" s="437" t="s">
        <v>202</v>
      </c>
      <c r="G12" s="431"/>
      <c r="H12" s="432"/>
      <c r="I12" s="433"/>
      <c r="J12" s="434"/>
      <c r="K12" s="432"/>
      <c r="L12" s="435"/>
      <c r="M12" s="435"/>
      <c r="N12" s="436">
        <f>E12*D12</f>
        <v>5.4719999999999991E-2</v>
      </c>
      <c r="O12" s="422"/>
    </row>
    <row r="13" spans="1:15" x14ac:dyDescent="0.25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0.29634299999999991</v>
      </c>
      <c r="O13" s="422"/>
    </row>
    <row r="14" spans="1:15" x14ac:dyDescent="0.25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25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30" x14ac:dyDescent="0.25">
      <c r="A16" s="438">
        <v>10</v>
      </c>
      <c r="B16" s="439" t="s">
        <v>39</v>
      </c>
      <c r="C16" s="440" t="s">
        <v>208</v>
      </c>
      <c r="D16" s="441">
        <v>1.3</v>
      </c>
      <c r="E16" s="439" t="s">
        <v>32</v>
      </c>
      <c r="F16" s="299">
        <v>1</v>
      </c>
      <c r="G16" s="440" t="s">
        <v>220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25">
      <c r="A17" s="444">
        <v>20</v>
      </c>
      <c r="B17" s="445" t="s">
        <v>209</v>
      </c>
      <c r="C17" s="296"/>
      <c r="D17" s="441">
        <v>0.01</v>
      </c>
      <c r="E17" s="445" t="s">
        <v>40</v>
      </c>
      <c r="F17" s="446">
        <v>27.3</v>
      </c>
      <c r="G17" s="439"/>
      <c r="H17" s="442"/>
      <c r="I17" s="443">
        <f>IF(H17="",D17*F17,D17*F17*H17)</f>
        <v>0.27300000000000002</v>
      </c>
      <c r="J17" s="299"/>
      <c r="K17" s="403"/>
      <c r="L17" s="403"/>
      <c r="M17" s="403"/>
      <c r="N17" s="403"/>
      <c r="O17" s="422"/>
    </row>
    <row r="18" spans="1:15" ht="30" x14ac:dyDescent="0.25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220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25">
      <c r="A19" s="444">
        <v>40</v>
      </c>
      <c r="B19" s="448" t="s">
        <v>92</v>
      </c>
      <c r="C19" s="448" t="s">
        <v>219</v>
      </c>
      <c r="D19" s="449">
        <v>0.04</v>
      </c>
      <c r="E19" s="448" t="s">
        <v>93</v>
      </c>
      <c r="F19" s="448">
        <v>2</v>
      </c>
      <c r="G19" s="448" t="s">
        <v>197</v>
      </c>
      <c r="H19" s="448">
        <v>3</v>
      </c>
      <c r="I19" s="450">
        <f t="shared" si="0"/>
        <v>0.24</v>
      </c>
      <c r="J19" s="302"/>
      <c r="K19" s="414"/>
      <c r="L19" s="414"/>
      <c r="M19" s="414"/>
      <c r="N19" s="414"/>
      <c r="O19" s="422"/>
    </row>
    <row r="20" spans="1:15" x14ac:dyDescent="0.25">
      <c r="A20" s="438">
        <v>50</v>
      </c>
      <c r="B20" s="439" t="s">
        <v>162</v>
      </c>
      <c r="C20" s="296" t="s">
        <v>210</v>
      </c>
      <c r="D20" s="303">
        <v>5.25</v>
      </c>
      <c r="E20" s="439" t="s">
        <v>202</v>
      </c>
      <c r="F20" s="451">
        <f>2*J11</f>
        <v>5.4719999999999994E-3</v>
      </c>
      <c r="G20" s="439"/>
      <c r="H20" s="442"/>
      <c r="I20" s="450">
        <f>F20*D20</f>
        <v>2.8727999999999997E-2</v>
      </c>
      <c r="J20" s="452"/>
      <c r="K20" s="453"/>
      <c r="L20" s="453"/>
      <c r="M20" s="453"/>
      <c r="N20" s="453"/>
      <c r="O20" s="422"/>
    </row>
    <row r="21" spans="1:15" x14ac:dyDescent="0.25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1.5167280000000001</v>
      </c>
      <c r="J21" s="453"/>
      <c r="K21" s="453"/>
      <c r="L21" s="453"/>
      <c r="M21" s="453"/>
      <c r="N21" s="453"/>
      <c r="O21" s="422"/>
    </row>
    <row r="22" spans="1:15" ht="15.75" thickBot="1" x14ac:dyDescent="0.3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E3" location="dSU_04010" display="Drawing" xr:uid="{00000000-0004-0000-5100-000000000000}"/>
    <hyperlink ref="F2" location="SU_A0400_BOM" display="Back to BOM" xr:uid="{00000000-0004-0000-5100-000001000000}"/>
    <hyperlink ref="B4" location="SU_A0400" display="Lower Back A-arm" xr:uid="{00000000-0004-0000-51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2" fitToHeight="99" orientation="landscape" r:id="rId1"/>
  <headerFooter>
    <oddFooter>Page &amp;P</oddFooter>
  </headerFooter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2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5" t="s">
        <v>267</v>
      </c>
    </row>
  </sheetData>
  <hyperlinks>
    <hyperlink ref="B1" location="SU_04010" display="SU_04010" xr:uid="{00000000-0004-0000-52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300-000000000000}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20.7109375" customWidth="1"/>
    <col min="3" max="3" width="19.7109375" customWidth="1"/>
    <col min="7" max="7" width="16.7109375" customWidth="1"/>
    <col min="9" max="9" width="13.7109375" customWidth="1"/>
  </cols>
  <sheetData>
    <row r="1" spans="1:15" x14ac:dyDescent="0.25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25">
      <c r="A2" s="419" t="s">
        <v>0</v>
      </c>
      <c r="B2" s="153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1.9015070000000001</v>
      </c>
      <c r="O2" s="422"/>
    </row>
    <row r="3" spans="1:15" x14ac:dyDescent="0.25">
      <c r="A3" s="419" t="s">
        <v>3</v>
      </c>
      <c r="B3" s="153" t="str">
        <f>'SU A0400'!B3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25">
      <c r="A4" s="419" t="s">
        <v>5</v>
      </c>
      <c r="B4" s="87" t="s">
        <v>142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25">
      <c r="A5" s="419" t="s">
        <v>15</v>
      </c>
      <c r="B5" s="424" t="s">
        <v>218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1.9015070000000001</v>
      </c>
      <c r="O5" s="422"/>
    </row>
    <row r="6" spans="1:15" x14ac:dyDescent="0.25">
      <c r="A6" s="419" t="s">
        <v>7</v>
      </c>
      <c r="B6" s="425" t="s">
        <v>265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25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25">
      <c r="A8" s="419" t="s">
        <v>13</v>
      </c>
      <c r="B8" s="403" t="s">
        <v>203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25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25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30" x14ac:dyDescent="0.25">
      <c r="A11" s="628">
        <v>10</v>
      </c>
      <c r="B11" s="630" t="s">
        <v>204</v>
      </c>
      <c r="C11" s="428" t="s">
        <v>205</v>
      </c>
      <c r="D11" s="429">
        <v>2.25</v>
      </c>
      <c r="E11" s="430">
        <f>J11*K11*L11</f>
        <v>0.129996</v>
      </c>
      <c r="F11" s="431" t="s">
        <v>141</v>
      </c>
      <c r="G11" s="431"/>
      <c r="H11" s="432"/>
      <c r="I11" s="433" t="s">
        <v>263</v>
      </c>
      <c r="J11" s="434">
        <f>0.046*0.072</f>
        <v>3.3119999999999998E-3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0.292491</v>
      </c>
      <c r="O11" s="422"/>
    </row>
    <row r="12" spans="1:15" x14ac:dyDescent="0.25">
      <c r="A12" s="426">
        <v>20</v>
      </c>
      <c r="B12" s="427" t="s">
        <v>207</v>
      </c>
      <c r="C12" s="428"/>
      <c r="D12" s="411">
        <v>10</v>
      </c>
      <c r="E12" s="412">
        <f>2*J11</f>
        <v>6.6239999999999997E-3</v>
      </c>
      <c r="F12" s="437" t="s">
        <v>202</v>
      </c>
      <c r="G12" s="431"/>
      <c r="H12" s="432"/>
      <c r="I12" s="433"/>
      <c r="J12" s="434"/>
      <c r="K12" s="432"/>
      <c r="L12" s="435"/>
      <c r="M12" s="435"/>
      <c r="N12" s="436">
        <f>E12*D12</f>
        <v>6.6239999999999993E-2</v>
      </c>
      <c r="O12" s="422"/>
    </row>
    <row r="13" spans="1:15" x14ac:dyDescent="0.25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0.35873100000000002</v>
      </c>
      <c r="O13" s="422"/>
    </row>
    <row r="14" spans="1:15" x14ac:dyDescent="0.25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25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45" x14ac:dyDescent="0.25">
      <c r="A16" s="438">
        <v>10</v>
      </c>
      <c r="B16" s="629" t="s">
        <v>39</v>
      </c>
      <c r="C16" s="440" t="s">
        <v>208</v>
      </c>
      <c r="D16" s="441">
        <v>1.3</v>
      </c>
      <c r="E16" s="439" t="s">
        <v>32</v>
      </c>
      <c r="F16" s="299">
        <v>1</v>
      </c>
      <c r="G16" s="440" t="s">
        <v>220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25">
      <c r="A17" s="444">
        <v>20</v>
      </c>
      <c r="B17" s="445" t="s">
        <v>209</v>
      </c>
      <c r="C17" s="296"/>
      <c r="D17" s="441">
        <v>0.01</v>
      </c>
      <c r="E17" s="445" t="s">
        <v>40</v>
      </c>
      <c r="F17" s="446">
        <v>29.3</v>
      </c>
      <c r="G17" s="439"/>
      <c r="H17" s="442"/>
      <c r="I17" s="443">
        <f>IF(H17="",D17*F17,D17*F17*H17)</f>
        <v>0.29300000000000004</v>
      </c>
      <c r="J17" s="299"/>
      <c r="K17" s="403"/>
      <c r="L17" s="403"/>
      <c r="M17" s="403"/>
      <c r="N17" s="403"/>
      <c r="O17" s="422"/>
    </row>
    <row r="18" spans="1:15" ht="45" x14ac:dyDescent="0.25">
      <c r="A18" s="438">
        <v>30</v>
      </c>
      <c r="B18" s="447" t="s">
        <v>39</v>
      </c>
      <c r="C18" s="631"/>
      <c r="D18" s="449">
        <v>0.65</v>
      </c>
      <c r="E18" s="448" t="s">
        <v>32</v>
      </c>
      <c r="F18" s="448">
        <v>1</v>
      </c>
      <c r="G18" s="440" t="s">
        <v>220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25">
      <c r="A19" s="444">
        <v>40</v>
      </c>
      <c r="B19" s="448" t="s">
        <v>92</v>
      </c>
      <c r="C19" s="448" t="s">
        <v>219</v>
      </c>
      <c r="D19" s="449">
        <v>0.04</v>
      </c>
      <c r="E19" s="448" t="s">
        <v>93</v>
      </c>
      <c r="F19" s="448">
        <v>2</v>
      </c>
      <c r="G19" s="448" t="s">
        <v>197</v>
      </c>
      <c r="H19" s="448">
        <v>3</v>
      </c>
      <c r="I19" s="450">
        <f t="shared" si="0"/>
        <v>0.24</v>
      </c>
      <c r="J19" s="302"/>
      <c r="K19" s="414"/>
      <c r="L19" s="414"/>
      <c r="M19" s="414"/>
      <c r="N19" s="414"/>
      <c r="O19" s="422"/>
    </row>
    <row r="20" spans="1:15" x14ac:dyDescent="0.25">
      <c r="A20" s="438">
        <v>50</v>
      </c>
      <c r="B20" s="439" t="s">
        <v>162</v>
      </c>
      <c r="C20" s="559" t="s">
        <v>210</v>
      </c>
      <c r="D20" s="303">
        <v>5.25</v>
      </c>
      <c r="E20" s="439" t="s">
        <v>202</v>
      </c>
      <c r="F20" s="451">
        <f>2*J11</f>
        <v>6.6239999999999997E-3</v>
      </c>
      <c r="G20" s="439"/>
      <c r="H20" s="442"/>
      <c r="I20" s="450">
        <f>F20*D20</f>
        <v>3.4776000000000001E-2</v>
      </c>
      <c r="J20" s="452"/>
      <c r="K20" s="453"/>
      <c r="L20" s="453"/>
      <c r="M20" s="453"/>
      <c r="N20" s="453"/>
      <c r="O20" s="422"/>
    </row>
    <row r="21" spans="1:15" x14ac:dyDescent="0.25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1.5427759999999999</v>
      </c>
      <c r="J21" s="453"/>
      <c r="K21" s="453"/>
      <c r="L21" s="453"/>
      <c r="M21" s="453"/>
      <c r="N21" s="453"/>
      <c r="O21" s="422"/>
    </row>
    <row r="22" spans="1:15" ht="15.75" thickBot="1" x14ac:dyDescent="0.3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E3" location="dSU_03008" display="Drawing" xr:uid="{00000000-0004-0000-5300-000000000000}"/>
    <hyperlink ref="F2" location="SU_A0400_BOM" display="Back to BOM" xr:uid="{00000000-0004-0000-5300-000001000000}"/>
    <hyperlink ref="B4" location="SU_A0400" display="Lower Back A-arm" xr:uid="{00000000-0004-0000-53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2" fitToHeight="99" orientation="landscape" r:id="rId1"/>
  <headerFooter>
    <oddFooter>Page &amp;P</oddFooter>
  </headerFooter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4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sheetData>
    <row r="1" spans="1:2" x14ac:dyDescent="0.25">
      <c r="A1" t="s">
        <v>230</v>
      </c>
      <c r="B1" s="275" t="s">
        <v>268</v>
      </c>
    </row>
  </sheetData>
  <hyperlinks>
    <hyperlink ref="B1" location="SU_04011" display="SU_04011" xr:uid="{00000000-0004-0000-54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500-000000000000}">
  <sheetPr>
    <tabColor rgb="FFFFFF00"/>
    <pageSetUpPr fitToPage="1"/>
  </sheetPr>
  <dimension ref="A1:O55"/>
  <sheetViews>
    <sheetView zoomScale="75" zoomScaleNormal="75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28" customWidth="1"/>
    <col min="3" max="3" width="52.42578125" customWidth="1"/>
    <col min="15" max="15" width="5.28515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SU_A0500_pa+SU_A0500_m+SU_A0500_p+SU_A0500_f+SU_A0500_t</f>
        <v>338.62063016572864</v>
      </c>
      <c r="O2" s="62"/>
    </row>
    <row r="3" spans="1:15" x14ac:dyDescent="0.25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25">
      <c r="A4" s="95" t="s">
        <v>5</v>
      </c>
      <c r="B4" s="57" t="s">
        <v>269</v>
      </c>
      <c r="C4" s="56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62"/>
    </row>
    <row r="5" spans="1:15" x14ac:dyDescent="0.25">
      <c r="A5" s="95" t="s">
        <v>7</v>
      </c>
      <c r="B5" s="18" t="s">
        <v>270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74">
        <f>N2*N3</f>
        <v>677.24126033145728</v>
      </c>
      <c r="O5" s="62"/>
    </row>
    <row r="6" spans="1:15" x14ac:dyDescent="0.25">
      <c r="A6" s="95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62"/>
    </row>
    <row r="7" spans="1:15" x14ac:dyDescent="0.25">
      <c r="A7" s="95" t="s">
        <v>13</v>
      </c>
      <c r="B7" s="632" t="s">
        <v>271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633" t="s">
        <v>14</v>
      </c>
      <c r="B9" s="633" t="s">
        <v>15</v>
      </c>
      <c r="C9" s="633" t="s">
        <v>16</v>
      </c>
      <c r="D9" s="633" t="s">
        <v>17</v>
      </c>
      <c r="E9" s="633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566">
        <v>10</v>
      </c>
      <c r="B10" s="458" t="s">
        <v>272</v>
      </c>
      <c r="C10" s="569">
        <f>'SU 05001'!N2</f>
        <v>5.9234014172552163</v>
      </c>
      <c r="D10" s="634">
        <f>SU_05001_q</f>
        <v>1</v>
      </c>
      <c r="E10" s="569">
        <f>C10*D10</f>
        <v>5.9234014172552163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25">
      <c r="A11" s="63"/>
      <c r="B11" s="56"/>
      <c r="C11" s="56"/>
      <c r="D11" s="259" t="s">
        <v>18</v>
      </c>
      <c r="E11" s="238">
        <f>SUM(E10:E10)</f>
        <v>5.9234014172552163</v>
      </c>
      <c r="F11" s="57"/>
      <c r="G11" s="57"/>
      <c r="H11" s="57"/>
      <c r="I11" s="57"/>
      <c r="J11" s="57"/>
      <c r="K11" s="57"/>
      <c r="L11" s="57"/>
      <c r="M11" s="57"/>
      <c r="N11" s="57"/>
      <c r="O11" s="62"/>
    </row>
    <row r="12" spans="1:15" x14ac:dyDescent="0.25">
      <c r="A12" s="63"/>
      <c r="B12" s="56"/>
      <c r="C12" s="56"/>
      <c r="D12" s="56"/>
      <c r="E12" s="56"/>
      <c r="F12" s="56"/>
      <c r="G12" s="56"/>
      <c r="H12" s="56"/>
      <c r="I12" s="56"/>
      <c r="J12" s="56"/>
      <c r="K12" s="56"/>
      <c r="L12" s="56"/>
      <c r="M12" s="56"/>
      <c r="N12" s="56"/>
      <c r="O12" s="62"/>
    </row>
    <row r="13" spans="1:15" x14ac:dyDescent="0.25">
      <c r="A13" s="633" t="s">
        <v>14</v>
      </c>
      <c r="B13" s="633" t="s">
        <v>19</v>
      </c>
      <c r="C13" s="633" t="s">
        <v>20</v>
      </c>
      <c r="D13" s="633" t="s">
        <v>21</v>
      </c>
      <c r="E13" s="633" t="s">
        <v>22</v>
      </c>
      <c r="F13" s="633" t="s">
        <v>23</v>
      </c>
      <c r="G13" s="633" t="s">
        <v>24</v>
      </c>
      <c r="H13" s="633" t="s">
        <v>25</v>
      </c>
      <c r="I13" s="633" t="s">
        <v>26</v>
      </c>
      <c r="J13" s="633" t="s">
        <v>27</v>
      </c>
      <c r="K13" s="633" t="s">
        <v>28</v>
      </c>
      <c r="L13" s="633" t="s">
        <v>29</v>
      </c>
      <c r="M13" s="633" t="s">
        <v>17</v>
      </c>
      <c r="N13" s="633" t="s">
        <v>18</v>
      </c>
      <c r="O13" s="62"/>
    </row>
    <row r="14" spans="1:15" x14ac:dyDescent="0.25">
      <c r="A14" s="566">
        <v>10</v>
      </c>
      <c r="B14" s="566" t="s">
        <v>273</v>
      </c>
      <c r="C14" s="566"/>
      <c r="D14" s="569">
        <v>305</v>
      </c>
      <c r="E14" s="566"/>
      <c r="F14" s="566" t="s">
        <v>35</v>
      </c>
      <c r="G14" s="566"/>
      <c r="H14" s="570"/>
      <c r="I14" s="635"/>
      <c r="J14" s="636"/>
      <c r="K14" s="570"/>
      <c r="L14" s="570"/>
      <c r="M14" s="572">
        <v>1</v>
      </c>
      <c r="N14" s="569">
        <f>D14*M14</f>
        <v>305</v>
      </c>
      <c r="O14" s="62"/>
    </row>
    <row r="15" spans="1:15" s="22" customFormat="1" x14ac:dyDescent="0.25">
      <c r="A15" s="566">
        <v>20</v>
      </c>
      <c r="B15" s="566" t="s">
        <v>274</v>
      </c>
      <c r="C15" s="637"/>
      <c r="D15" s="569">
        <v>25</v>
      </c>
      <c r="E15" s="638"/>
      <c r="F15" s="638" t="s">
        <v>35</v>
      </c>
      <c r="G15" s="638"/>
      <c r="H15" s="570"/>
      <c r="I15" s="639"/>
      <c r="J15" s="640"/>
      <c r="K15" s="641"/>
      <c r="L15" s="573"/>
      <c r="M15" s="572">
        <v>1</v>
      </c>
      <c r="N15" s="569">
        <f>D15*M15</f>
        <v>25</v>
      </c>
      <c r="O15" s="66"/>
    </row>
    <row r="16" spans="1:15" x14ac:dyDescent="0.25">
      <c r="A16" s="642">
        <v>30</v>
      </c>
      <c r="B16" s="643" t="s">
        <v>275</v>
      </c>
      <c r="C16" s="642"/>
      <c r="D16" s="569">
        <v>0</v>
      </c>
      <c r="E16" s="642"/>
      <c r="F16" s="642" t="s">
        <v>35</v>
      </c>
      <c r="G16" s="642"/>
      <c r="H16" s="642"/>
      <c r="I16" s="642"/>
      <c r="J16" s="642"/>
      <c r="K16" s="642"/>
      <c r="L16" s="642"/>
      <c r="M16" s="642">
        <v>2</v>
      </c>
      <c r="N16" s="569">
        <f>D16*M16</f>
        <v>0</v>
      </c>
    </row>
    <row r="17" spans="1:15" x14ac:dyDescent="0.25">
      <c r="A17" s="642">
        <v>40</v>
      </c>
      <c r="B17" s="643" t="s">
        <v>276</v>
      </c>
      <c r="C17" s="642" t="s">
        <v>277</v>
      </c>
      <c r="D17" s="569">
        <v>10</v>
      </c>
      <c r="E17" s="642">
        <v>4.0000000000000001E-3</v>
      </c>
      <c r="F17" s="642" t="s">
        <v>202</v>
      </c>
      <c r="G17" s="642"/>
      <c r="H17" s="642"/>
      <c r="I17" s="642"/>
      <c r="J17" s="642"/>
      <c r="K17" s="642"/>
      <c r="L17" s="642"/>
      <c r="M17" s="642">
        <v>1</v>
      </c>
      <c r="N17" s="569">
        <f>D17*E17*M17</f>
        <v>0.04</v>
      </c>
    </row>
    <row r="18" spans="1:15" x14ac:dyDescent="0.25">
      <c r="A18" s="67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644" t="s">
        <v>18</v>
      </c>
      <c r="N18" s="238">
        <f>SUM(N14:N17)</f>
        <v>330.04</v>
      </c>
      <c r="O18" s="62"/>
    </row>
    <row r="19" spans="1:15" x14ac:dyDescent="0.25">
      <c r="A19" s="63"/>
      <c r="B19" s="56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6"/>
      <c r="N19" s="56"/>
      <c r="O19" s="62"/>
    </row>
    <row r="20" spans="1:15" s="25" customFormat="1" x14ac:dyDescent="0.25">
      <c r="A20" s="95" t="s">
        <v>14</v>
      </c>
      <c r="B20" s="95" t="s">
        <v>31</v>
      </c>
      <c r="C20" s="95" t="s">
        <v>20</v>
      </c>
      <c r="D20" s="95" t="s">
        <v>21</v>
      </c>
      <c r="E20" s="95" t="s">
        <v>32</v>
      </c>
      <c r="F20" s="95" t="s">
        <v>17</v>
      </c>
      <c r="G20" s="95" t="s">
        <v>33</v>
      </c>
      <c r="H20" s="95" t="s">
        <v>34</v>
      </c>
      <c r="I20" s="95" t="s">
        <v>18</v>
      </c>
      <c r="J20" s="24"/>
      <c r="K20" s="24"/>
      <c r="L20" s="24"/>
      <c r="M20" s="24"/>
      <c r="N20" s="24"/>
      <c r="O20" s="68"/>
    </row>
    <row r="21" spans="1:15" s="25" customFormat="1" x14ac:dyDescent="0.25">
      <c r="A21" s="645">
        <v>10</v>
      </c>
      <c r="B21" s="646" t="s">
        <v>278</v>
      </c>
      <c r="C21" s="645" t="s">
        <v>279</v>
      </c>
      <c r="D21" s="645">
        <v>0.38</v>
      </c>
      <c r="E21" s="645" t="s">
        <v>40</v>
      </c>
      <c r="F21" s="645">
        <f>2*1.7</f>
        <v>3.4</v>
      </c>
      <c r="G21" s="645"/>
      <c r="H21" s="645"/>
      <c r="I21" s="647">
        <f t="shared" ref="I21:I30" si="0">IF(H21="",D21*F21,D21*F21*H21)</f>
        <v>1.292</v>
      </c>
      <c r="J21" s="24"/>
      <c r="K21" s="24"/>
      <c r="L21" s="24"/>
      <c r="M21" s="24"/>
      <c r="N21" s="24"/>
      <c r="O21" s="68"/>
    </row>
    <row r="22" spans="1:15" s="25" customFormat="1" x14ac:dyDescent="0.25">
      <c r="A22" s="648">
        <v>20</v>
      </c>
      <c r="B22" s="649" t="s">
        <v>280</v>
      </c>
      <c r="C22" s="649" t="s">
        <v>281</v>
      </c>
      <c r="D22" s="273">
        <v>5.25</v>
      </c>
      <c r="E22" s="648" t="s">
        <v>202</v>
      </c>
      <c r="F22" s="648">
        <v>4.0000000000000001E-3</v>
      </c>
      <c r="G22" s="645"/>
      <c r="H22" s="645"/>
      <c r="I22" s="647">
        <f t="shared" si="0"/>
        <v>2.1000000000000001E-2</v>
      </c>
      <c r="J22" s="24"/>
      <c r="K22" s="24"/>
      <c r="L22" s="24"/>
      <c r="M22" s="24"/>
      <c r="N22" s="24"/>
      <c r="O22" s="68"/>
    </row>
    <row r="23" spans="1:15" x14ac:dyDescent="0.25">
      <c r="A23" s="650">
        <v>30</v>
      </c>
      <c r="B23" s="646" t="s">
        <v>282</v>
      </c>
      <c r="C23" s="650" t="s">
        <v>283</v>
      </c>
      <c r="D23" s="647">
        <v>0.06</v>
      </c>
      <c r="E23" s="650" t="s">
        <v>35</v>
      </c>
      <c r="F23" s="650">
        <v>1</v>
      </c>
      <c r="G23" s="650"/>
      <c r="H23" s="650"/>
      <c r="I23" s="647">
        <f t="shared" si="0"/>
        <v>0.06</v>
      </c>
      <c r="J23" s="56"/>
      <c r="K23" s="56"/>
      <c r="L23" s="56"/>
      <c r="M23" s="56"/>
      <c r="N23" s="56"/>
      <c r="O23" s="62"/>
    </row>
    <row r="24" spans="1:15" x14ac:dyDescent="0.25">
      <c r="A24" s="651">
        <v>40</v>
      </c>
      <c r="B24" s="652" t="s">
        <v>284</v>
      </c>
      <c r="C24" s="651" t="s">
        <v>285</v>
      </c>
      <c r="D24" s="653">
        <v>2</v>
      </c>
      <c r="E24" s="654" t="s">
        <v>35</v>
      </c>
      <c r="F24" s="650">
        <v>1</v>
      </c>
      <c r="G24" s="651"/>
      <c r="H24" s="651"/>
      <c r="I24" s="653">
        <f t="shared" si="0"/>
        <v>2</v>
      </c>
      <c r="J24" s="56"/>
      <c r="K24" s="56"/>
      <c r="L24" s="56"/>
      <c r="M24" s="56"/>
      <c r="N24" s="56"/>
      <c r="O24" s="62"/>
    </row>
    <row r="25" spans="1:15" x14ac:dyDescent="0.25">
      <c r="A25" s="655">
        <v>50</v>
      </c>
      <c r="B25" s="656" t="s">
        <v>286</v>
      </c>
      <c r="C25" s="656" t="s">
        <v>287</v>
      </c>
      <c r="D25" s="657">
        <v>0.06</v>
      </c>
      <c r="E25" s="655" t="s">
        <v>35</v>
      </c>
      <c r="F25" s="650">
        <v>1</v>
      </c>
      <c r="G25" s="655"/>
      <c r="H25" s="655"/>
      <c r="I25" s="657">
        <f t="shared" si="0"/>
        <v>0.06</v>
      </c>
      <c r="J25" s="56"/>
      <c r="K25" s="56"/>
      <c r="L25" s="56"/>
      <c r="M25" s="56"/>
      <c r="N25" s="56"/>
      <c r="O25" s="62"/>
    </row>
    <row r="26" spans="1:15" s="17" customFormat="1" x14ac:dyDescent="0.25">
      <c r="A26" s="655">
        <v>60</v>
      </c>
      <c r="B26" s="656" t="s">
        <v>286</v>
      </c>
      <c r="C26" s="656" t="s">
        <v>288</v>
      </c>
      <c r="D26" s="657">
        <v>0.06</v>
      </c>
      <c r="E26" s="655" t="s">
        <v>35</v>
      </c>
      <c r="F26" s="650">
        <v>1</v>
      </c>
      <c r="G26" s="655"/>
      <c r="H26" s="655"/>
      <c r="I26" s="657">
        <f t="shared" si="0"/>
        <v>0.06</v>
      </c>
      <c r="J26" s="57"/>
      <c r="K26" s="57"/>
      <c r="L26" s="57"/>
      <c r="M26" s="57"/>
      <c r="N26" s="57"/>
      <c r="O26" s="65"/>
    </row>
    <row r="27" spans="1:15" s="25" customFormat="1" x14ac:dyDescent="0.25">
      <c r="A27" s="655">
        <v>70</v>
      </c>
      <c r="B27" s="276" t="s">
        <v>289</v>
      </c>
      <c r="C27" s="656" t="s">
        <v>290</v>
      </c>
      <c r="D27" s="657">
        <v>0.12</v>
      </c>
      <c r="E27" s="655" t="s">
        <v>35</v>
      </c>
      <c r="F27" s="650">
        <v>1</v>
      </c>
      <c r="G27" s="655"/>
      <c r="H27" s="655"/>
      <c r="I27" s="657">
        <f t="shared" si="0"/>
        <v>0.12</v>
      </c>
      <c r="J27" s="57"/>
      <c r="K27" s="57"/>
      <c r="L27" s="57"/>
      <c r="M27" s="57"/>
      <c r="N27" s="57"/>
      <c r="O27" s="68"/>
    </row>
    <row r="28" spans="1:15" s="25" customFormat="1" x14ac:dyDescent="0.25">
      <c r="A28" s="655">
        <v>80</v>
      </c>
      <c r="B28" s="276" t="s">
        <v>289</v>
      </c>
      <c r="C28" s="656" t="s">
        <v>291</v>
      </c>
      <c r="D28" s="657">
        <v>0.12</v>
      </c>
      <c r="E28" s="655" t="s">
        <v>35</v>
      </c>
      <c r="F28" s="650">
        <v>1</v>
      </c>
      <c r="G28" s="655"/>
      <c r="H28" s="655"/>
      <c r="I28" s="657">
        <f t="shared" si="0"/>
        <v>0.12</v>
      </c>
      <c r="J28" s="57"/>
      <c r="K28" s="57"/>
      <c r="L28" s="57"/>
      <c r="M28" s="57"/>
      <c r="N28" s="57"/>
      <c r="O28" s="68"/>
    </row>
    <row r="29" spans="1:15" s="17" customFormat="1" x14ac:dyDescent="0.25">
      <c r="A29" s="655">
        <v>90</v>
      </c>
      <c r="B29" s="276" t="s">
        <v>292</v>
      </c>
      <c r="C29" s="656" t="s">
        <v>293</v>
      </c>
      <c r="D29" s="657">
        <v>0.75</v>
      </c>
      <c r="E29" s="658" t="s">
        <v>35</v>
      </c>
      <c r="F29" s="650">
        <v>1</v>
      </c>
      <c r="G29" s="655"/>
      <c r="H29" s="655"/>
      <c r="I29" s="657">
        <f t="shared" si="0"/>
        <v>0.75</v>
      </c>
      <c r="J29" s="57"/>
      <c r="K29" s="57"/>
      <c r="L29" s="57"/>
      <c r="M29" s="57"/>
      <c r="N29" s="57"/>
      <c r="O29" s="65"/>
    </row>
    <row r="30" spans="1:15" s="17" customFormat="1" x14ac:dyDescent="0.25">
      <c r="A30" s="655">
        <v>100</v>
      </c>
      <c r="B30" s="276" t="s">
        <v>294</v>
      </c>
      <c r="C30" s="656" t="s">
        <v>293</v>
      </c>
      <c r="D30" s="657">
        <v>0.25</v>
      </c>
      <c r="E30" s="658" t="s">
        <v>35</v>
      </c>
      <c r="F30" s="650">
        <v>1</v>
      </c>
      <c r="G30" s="655"/>
      <c r="H30" s="655"/>
      <c r="I30" s="657">
        <f t="shared" si="0"/>
        <v>0.25</v>
      </c>
      <c r="J30" s="57"/>
      <c r="K30" s="57"/>
      <c r="L30" s="57"/>
      <c r="M30" s="57"/>
      <c r="N30" s="57"/>
      <c r="O30" s="65"/>
    </row>
    <row r="31" spans="1:15" x14ac:dyDescent="0.25">
      <c r="A31" s="67"/>
      <c r="B31" s="24"/>
      <c r="C31" s="24"/>
      <c r="D31" s="24"/>
      <c r="E31" s="24"/>
      <c r="F31" s="24"/>
      <c r="G31" s="24"/>
      <c r="H31" s="259" t="s">
        <v>18</v>
      </c>
      <c r="I31" s="238">
        <f>SUM(I23:I25)</f>
        <v>2.12</v>
      </c>
      <c r="J31" s="56"/>
      <c r="K31" s="56"/>
      <c r="L31" s="56"/>
      <c r="M31" s="56"/>
      <c r="N31" s="56"/>
      <c r="O31" s="62"/>
    </row>
    <row r="32" spans="1:15" x14ac:dyDescent="0.25">
      <c r="A32" s="63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56"/>
      <c r="O32" s="62"/>
    </row>
    <row r="33" spans="1:15" x14ac:dyDescent="0.25">
      <c r="A33" s="95" t="s">
        <v>14</v>
      </c>
      <c r="B33" s="95" t="s">
        <v>36</v>
      </c>
      <c r="C33" s="95" t="s">
        <v>20</v>
      </c>
      <c r="D33" s="95" t="s">
        <v>21</v>
      </c>
      <c r="E33" s="95" t="s">
        <v>22</v>
      </c>
      <c r="F33" s="95" t="s">
        <v>23</v>
      </c>
      <c r="G33" s="95" t="s">
        <v>24</v>
      </c>
      <c r="H33" s="95" t="s">
        <v>25</v>
      </c>
      <c r="I33" s="95" t="s">
        <v>17</v>
      </c>
      <c r="J33" s="95" t="s">
        <v>18</v>
      </c>
      <c r="K33" s="56"/>
      <c r="L33" s="56"/>
      <c r="M33" s="56"/>
      <c r="N33" s="56"/>
      <c r="O33" s="62"/>
    </row>
    <row r="34" spans="1:15" x14ac:dyDescent="0.25">
      <c r="A34" s="72">
        <v>10</v>
      </c>
      <c r="B34" s="72" t="s">
        <v>295</v>
      </c>
      <c r="C34" s="72" t="s">
        <v>296</v>
      </c>
      <c r="D34" s="659">
        <f>0.8/105154*E34^2*G34*SQRT(G34)+0.003*EXP(0.319*E34)</f>
        <v>0.13931812332052654</v>
      </c>
      <c r="E34" s="660">
        <v>8</v>
      </c>
      <c r="F34" s="660" t="s">
        <v>30</v>
      </c>
      <c r="G34" s="660">
        <v>35</v>
      </c>
      <c r="H34" s="660" t="s">
        <v>30</v>
      </c>
      <c r="I34" s="82">
        <v>1</v>
      </c>
      <c r="J34" s="74">
        <f>I34*D34</f>
        <v>0.13931812332052654</v>
      </c>
      <c r="K34" s="56"/>
      <c r="L34" s="56"/>
      <c r="M34" s="56"/>
      <c r="N34" s="56"/>
      <c r="O34" s="62"/>
    </row>
    <row r="35" spans="1:15" x14ac:dyDescent="0.25">
      <c r="A35" s="72">
        <v>20</v>
      </c>
      <c r="B35" s="72" t="s">
        <v>297</v>
      </c>
      <c r="C35" s="72" t="s">
        <v>296</v>
      </c>
      <c r="D35" s="659">
        <v>0.01</v>
      </c>
      <c r="E35" s="72">
        <v>8</v>
      </c>
      <c r="F35" s="661" t="s">
        <v>30</v>
      </c>
      <c r="G35" s="72"/>
      <c r="H35" s="72"/>
      <c r="I35" s="82">
        <v>2</v>
      </c>
      <c r="J35" s="74">
        <f>I35*D35</f>
        <v>0.02</v>
      </c>
      <c r="K35" s="56"/>
      <c r="L35" s="56"/>
      <c r="M35" s="56"/>
      <c r="N35" s="56"/>
      <c r="O35" s="62"/>
    </row>
    <row r="36" spans="1:15" x14ac:dyDescent="0.25">
      <c r="A36" s="72">
        <v>30</v>
      </c>
      <c r="B36" s="72" t="s">
        <v>298</v>
      </c>
      <c r="C36" s="72" t="s">
        <v>296</v>
      </c>
      <c r="D36" s="659">
        <f>0.009*EXP(0.2*E36)</f>
        <v>4.4577291819556032E-2</v>
      </c>
      <c r="E36" s="72">
        <v>8</v>
      </c>
      <c r="F36" s="661" t="s">
        <v>30</v>
      </c>
      <c r="G36" s="72"/>
      <c r="H36" s="72"/>
      <c r="I36" s="82">
        <v>1</v>
      </c>
      <c r="J36" s="74">
        <f>I36*D36</f>
        <v>4.4577291819556032E-2</v>
      </c>
      <c r="K36" s="56"/>
      <c r="L36" s="56"/>
      <c r="M36" s="56"/>
      <c r="N36" s="56"/>
      <c r="O36" s="62"/>
    </row>
    <row r="37" spans="1:15" x14ac:dyDescent="0.25">
      <c r="A37" s="67"/>
      <c r="B37" s="24"/>
      <c r="C37" s="24"/>
      <c r="D37" s="24"/>
      <c r="E37" s="24"/>
      <c r="F37" s="24"/>
      <c r="G37" s="24"/>
      <c r="H37" s="24"/>
      <c r="I37" s="98" t="s">
        <v>18</v>
      </c>
      <c r="J37" s="97">
        <f>SUM(J34:J36)</f>
        <v>0.20389541514008255</v>
      </c>
      <c r="K37" s="56"/>
      <c r="L37" s="56"/>
      <c r="M37" s="56"/>
      <c r="N37" s="56"/>
      <c r="O37" s="62"/>
    </row>
    <row r="38" spans="1:15" x14ac:dyDescent="0.25">
      <c r="A38" s="63"/>
      <c r="B38" s="56"/>
      <c r="C38" s="56"/>
      <c r="D38" s="56"/>
      <c r="E38" s="56"/>
      <c r="F38" s="56"/>
      <c r="G38" s="56"/>
      <c r="H38" s="56"/>
      <c r="I38" s="56"/>
      <c r="J38" s="56"/>
      <c r="K38" s="56"/>
      <c r="L38" s="56"/>
      <c r="M38" s="56"/>
      <c r="N38" s="56"/>
      <c r="O38" s="62"/>
    </row>
    <row r="39" spans="1:15" x14ac:dyDescent="0.25">
      <c r="A39" s="95" t="s">
        <v>14</v>
      </c>
      <c r="B39" s="95" t="s">
        <v>179</v>
      </c>
      <c r="C39" s="95" t="s">
        <v>20</v>
      </c>
      <c r="D39" s="95" t="s">
        <v>21</v>
      </c>
      <c r="E39" s="95" t="s">
        <v>32</v>
      </c>
      <c r="F39" s="95" t="s">
        <v>17</v>
      </c>
      <c r="G39" s="95" t="s">
        <v>180</v>
      </c>
      <c r="H39" s="95" t="s">
        <v>181</v>
      </c>
      <c r="I39" s="95" t="s">
        <v>18</v>
      </c>
      <c r="J39" s="24"/>
      <c r="K39" s="56"/>
      <c r="L39" s="56"/>
      <c r="M39" s="56"/>
      <c r="N39" s="56"/>
      <c r="O39" s="62"/>
    </row>
    <row r="40" spans="1:15" x14ac:dyDescent="0.25">
      <c r="A40" s="72">
        <v>10</v>
      </c>
      <c r="B40" s="72" t="s">
        <v>182</v>
      </c>
      <c r="C40" s="662" t="s">
        <v>425</v>
      </c>
      <c r="D40" s="74">
        <v>500</v>
      </c>
      <c r="E40" s="72" t="s">
        <v>184</v>
      </c>
      <c r="F40" s="72">
        <v>2</v>
      </c>
      <c r="G40" s="72">
        <v>3000</v>
      </c>
      <c r="H40" s="72">
        <v>1</v>
      </c>
      <c r="I40" s="74">
        <f>D40*F40/G40*H40</f>
        <v>0.33333333333333331</v>
      </c>
      <c r="J40" s="24"/>
      <c r="K40" s="56"/>
      <c r="L40" s="56"/>
      <c r="M40" s="56"/>
      <c r="N40" s="56"/>
      <c r="O40" s="62"/>
    </row>
    <row r="41" spans="1:15" x14ac:dyDescent="0.25">
      <c r="A41" s="67"/>
      <c r="B41" s="24"/>
      <c r="C41" s="24"/>
      <c r="D41" s="24"/>
      <c r="E41" s="24"/>
      <c r="F41" s="24"/>
      <c r="G41" s="24"/>
      <c r="H41" s="259" t="s">
        <v>18</v>
      </c>
      <c r="I41" s="238">
        <f>SUM(I40:I40)</f>
        <v>0.33333333333333331</v>
      </c>
      <c r="J41" s="24"/>
      <c r="K41" s="56"/>
      <c r="L41" s="56"/>
      <c r="M41" s="56"/>
      <c r="N41" s="56"/>
      <c r="O41" s="62"/>
    </row>
    <row r="42" spans="1:15" ht="15.75" thickBot="1" x14ac:dyDescent="0.3">
      <c r="A42" s="69"/>
      <c r="B42" s="70"/>
      <c r="C42" s="70"/>
      <c r="D42" s="70"/>
      <c r="E42" s="70"/>
      <c r="F42" s="70"/>
      <c r="G42" s="70"/>
      <c r="H42" s="70"/>
      <c r="I42" s="70"/>
      <c r="J42" s="70"/>
      <c r="K42" s="70"/>
      <c r="L42" s="70"/>
      <c r="M42" s="70"/>
      <c r="N42" s="70"/>
      <c r="O42" s="71"/>
    </row>
    <row r="43" spans="1:15" x14ac:dyDescent="0.25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  <row r="46" spans="1:15" x14ac:dyDescent="0.25">
      <c r="B46" s="56"/>
      <c r="C46" s="663"/>
      <c r="D46" s="663"/>
      <c r="E46" s="56"/>
    </row>
    <row r="47" spans="1:15" x14ac:dyDescent="0.25">
      <c r="B47" s="56"/>
      <c r="C47" s="663"/>
      <c r="D47" s="663"/>
      <c r="E47" s="56"/>
    </row>
    <row r="48" spans="1:15" x14ac:dyDescent="0.25">
      <c r="B48" s="56"/>
      <c r="C48" s="664"/>
      <c r="D48" s="663"/>
      <c r="E48" s="56"/>
    </row>
    <row r="49" spans="2:5" x14ac:dyDescent="0.25">
      <c r="B49" s="56"/>
      <c r="C49" s="664"/>
      <c r="D49" s="663"/>
      <c r="E49" s="56"/>
    </row>
    <row r="50" spans="2:5" x14ac:dyDescent="0.25">
      <c r="B50" s="56"/>
      <c r="C50" s="664"/>
      <c r="D50" s="663"/>
      <c r="E50" s="56"/>
    </row>
    <row r="51" spans="2:5" x14ac:dyDescent="0.25">
      <c r="B51" s="56"/>
      <c r="C51" s="664"/>
      <c r="D51" s="663"/>
      <c r="E51" s="56"/>
    </row>
    <row r="52" spans="2:5" x14ac:dyDescent="0.25">
      <c r="B52" s="56"/>
      <c r="C52" s="664"/>
      <c r="D52" s="663"/>
      <c r="E52" s="56"/>
    </row>
    <row r="53" spans="2:5" x14ac:dyDescent="0.25">
      <c r="B53" s="56"/>
      <c r="C53" s="56"/>
      <c r="D53" s="56"/>
      <c r="E53" s="56"/>
    </row>
    <row r="54" spans="2:5" x14ac:dyDescent="0.25">
      <c r="B54" s="56"/>
      <c r="C54" s="56"/>
      <c r="D54" s="56"/>
      <c r="E54" s="56"/>
    </row>
    <row r="55" spans="2:5" x14ac:dyDescent="0.25">
      <c r="B55" s="56"/>
      <c r="C55" s="56"/>
      <c r="D55" s="56"/>
      <c r="E55" s="56"/>
    </row>
  </sheetData>
  <hyperlinks>
    <hyperlink ref="B10" location="SU_05001" display="Shock Front Bracket" xr:uid="{00000000-0004-0000-5500-000000000000}"/>
    <hyperlink ref="E2" location="SU_A0500_BOM" display="Back to BOM" xr:uid="{00000000-0004-0000-55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3" firstPageNumber="0" fitToHeight="99" orientation="landscape" r:id="rId1"/>
  <headerFooter>
    <oddFooter>Page &amp;P</oddFooter>
  </headerFooter>
  <rowBreaks count="1" manualBreakCount="1">
    <brk id="42" max="16383" man="1"/>
  </rowBreaks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600-000000000000}">
  <sheetPr>
    <tabColor rgb="FFFFFF66"/>
    <pageSetUpPr fitToPage="1"/>
  </sheetPr>
  <dimension ref="A1:O23"/>
  <sheetViews>
    <sheetView zoomScale="75" zoomScaleNormal="75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17.140625" customWidth="1"/>
    <col min="3" max="3" width="17" customWidth="1"/>
    <col min="7" max="7" width="15.28515625" customWidth="1"/>
    <col min="9" max="9" width="26.28515625" customWidth="1"/>
    <col min="10" max="10" width="12" bestFit="1" customWidth="1"/>
    <col min="15" max="15" width="3.140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SU_05001_m+SU_05001_p</f>
        <v>5.9234014172552163</v>
      </c>
      <c r="O2" s="62"/>
    </row>
    <row r="3" spans="1:15" x14ac:dyDescent="0.25">
      <c r="A3" s="99" t="s">
        <v>3</v>
      </c>
      <c r="B3" s="16" t="str">
        <f>'SU A0500'!B3</f>
        <v>Suspension &amp; Shocks</v>
      </c>
      <c r="C3" s="56"/>
      <c r="D3" s="99" t="s">
        <v>6</v>
      </c>
      <c r="E3" s="275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5" x14ac:dyDescent="0.25">
      <c r="A4" s="99" t="s">
        <v>5</v>
      </c>
      <c r="B4" s="87" t="str">
        <f>'SU A0500'!B4</f>
        <v>Front suspension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25">
      <c r="A5" s="99" t="s">
        <v>15</v>
      </c>
      <c r="B5" s="18" t="s">
        <v>272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5.9234014172552163</v>
      </c>
      <c r="O5" s="62"/>
    </row>
    <row r="6" spans="1:15" x14ac:dyDescent="0.25">
      <c r="A6" s="99" t="s">
        <v>7</v>
      </c>
      <c r="B6" t="s">
        <v>308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9" t="s">
        <v>13</v>
      </c>
      <c r="B8" s="16" t="s">
        <v>300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s="22" customFormat="1" x14ac:dyDescent="0.25">
      <c r="A11" s="85">
        <v>10</v>
      </c>
      <c r="B11" s="665" t="s">
        <v>301</v>
      </c>
      <c r="C11" s="20" t="s">
        <v>302</v>
      </c>
      <c r="D11" s="277">
        <v>2.25</v>
      </c>
      <c r="E11" s="666">
        <f>J11*K11*L11</f>
        <v>0.17182285211342935</v>
      </c>
      <c r="F11" s="20" t="s">
        <v>141</v>
      </c>
      <c r="G11" s="20"/>
      <c r="H11" s="278"/>
      <c r="I11" s="21" t="s">
        <v>303</v>
      </c>
      <c r="J11" s="667">
        <f>PI()*0.0155^2</f>
        <v>7.5476763502494771E-4</v>
      </c>
      <c r="K11" s="668">
        <v>2.9000000000000001E-2</v>
      </c>
      <c r="L11" s="669">
        <v>7850</v>
      </c>
      <c r="M11" s="23">
        <v>1</v>
      </c>
      <c r="N11" s="277">
        <f>E11*D11</f>
        <v>0.38660141725521602</v>
      </c>
      <c r="O11" s="66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0.38660141725521602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670"/>
      <c r="L14" s="24"/>
      <c r="M14" s="24"/>
      <c r="N14" s="24"/>
      <c r="O14" s="62"/>
    </row>
    <row r="15" spans="1:15" s="25" customFormat="1" ht="45" x14ac:dyDescent="0.25">
      <c r="A15" s="679">
        <v>10</v>
      </c>
      <c r="B15" s="682" t="s">
        <v>39</v>
      </c>
      <c r="C15" s="680" t="s">
        <v>68</v>
      </c>
      <c r="D15" s="681">
        <v>1.3</v>
      </c>
      <c r="E15" s="682" t="s">
        <v>35</v>
      </c>
      <c r="F15" s="683">
        <v>1</v>
      </c>
      <c r="G15" s="683"/>
      <c r="H15" s="31"/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68"/>
    </row>
    <row r="16" spans="1:15" x14ac:dyDescent="0.25">
      <c r="A16" s="684">
        <v>20</v>
      </c>
      <c r="B16" s="682" t="s">
        <v>92</v>
      </c>
      <c r="C16" s="685" t="s">
        <v>304</v>
      </c>
      <c r="D16" s="686">
        <v>0.04</v>
      </c>
      <c r="E16" s="685" t="s">
        <v>93</v>
      </c>
      <c r="F16" s="687">
        <v>2.64</v>
      </c>
      <c r="G16" s="682" t="s">
        <v>305</v>
      </c>
      <c r="H16" s="26">
        <v>3</v>
      </c>
      <c r="I16" s="277">
        <f t="shared" si="0"/>
        <v>0.31680000000000003</v>
      </c>
      <c r="J16" s="56"/>
      <c r="K16" s="56"/>
      <c r="L16" s="56"/>
      <c r="M16" s="56"/>
      <c r="N16" s="56"/>
      <c r="O16" s="62"/>
    </row>
    <row r="17" spans="1:15" s="17" customFormat="1" ht="30" x14ac:dyDescent="0.25">
      <c r="A17" s="679">
        <v>30</v>
      </c>
      <c r="B17" s="682" t="s">
        <v>306</v>
      </c>
      <c r="C17" s="685"/>
      <c r="D17" s="686">
        <v>0.65</v>
      </c>
      <c r="E17" s="682"/>
      <c r="F17" s="685">
        <v>1</v>
      </c>
      <c r="G17" s="685"/>
      <c r="H17" s="26"/>
      <c r="I17" s="277">
        <f t="shared" si="0"/>
        <v>0.65</v>
      </c>
      <c r="J17" s="57"/>
      <c r="K17" s="57"/>
      <c r="L17" s="57"/>
      <c r="M17" s="57"/>
      <c r="N17" s="57"/>
      <c r="O17" s="65"/>
    </row>
    <row r="18" spans="1:15" x14ac:dyDescent="0.25">
      <c r="A18" s="684">
        <v>40</v>
      </c>
      <c r="B18" s="682" t="s">
        <v>92</v>
      </c>
      <c r="C18" s="685" t="s">
        <v>304</v>
      </c>
      <c r="D18" s="686">
        <v>0.04</v>
      </c>
      <c r="E18" s="685" t="s">
        <v>93</v>
      </c>
      <c r="F18" s="687">
        <v>9.1999999999999993</v>
      </c>
      <c r="G18" s="682" t="s">
        <v>305</v>
      </c>
      <c r="H18" s="26">
        <v>3</v>
      </c>
      <c r="I18" s="277">
        <f t="shared" si="0"/>
        <v>1.1040000000000001</v>
      </c>
      <c r="J18" s="56"/>
      <c r="K18" s="56"/>
      <c r="L18" s="56"/>
      <c r="M18" s="56"/>
      <c r="N18" s="56"/>
      <c r="O18" s="62"/>
    </row>
    <row r="19" spans="1:15" ht="30" x14ac:dyDescent="0.25">
      <c r="A19" s="679">
        <v>50</v>
      </c>
      <c r="B19" s="682" t="s">
        <v>306</v>
      </c>
      <c r="C19" s="685"/>
      <c r="D19" s="686">
        <v>0.65</v>
      </c>
      <c r="E19" s="682"/>
      <c r="F19" s="685">
        <v>1</v>
      </c>
      <c r="G19" s="685"/>
      <c r="H19" s="26"/>
      <c r="I19" s="277">
        <f t="shared" si="0"/>
        <v>0.65</v>
      </c>
      <c r="J19" s="56"/>
      <c r="K19" s="56"/>
      <c r="L19" s="56"/>
      <c r="M19" s="56"/>
      <c r="N19" s="56"/>
      <c r="O19" s="62"/>
    </row>
    <row r="20" spans="1:15" x14ac:dyDescent="0.25">
      <c r="A20" s="684">
        <v>60</v>
      </c>
      <c r="B20" s="682" t="s">
        <v>92</v>
      </c>
      <c r="C20" s="685" t="s">
        <v>304</v>
      </c>
      <c r="D20" s="686">
        <v>0.04</v>
      </c>
      <c r="E20" s="685" t="s">
        <v>93</v>
      </c>
      <c r="F20" s="687">
        <v>6.8</v>
      </c>
      <c r="G20" s="682" t="s">
        <v>305</v>
      </c>
      <c r="H20" s="26">
        <v>3</v>
      </c>
      <c r="I20" s="277">
        <f>IF(H20="",D20*F20,D20*F20*H20)</f>
        <v>0.81600000000000006</v>
      </c>
      <c r="J20" s="56"/>
      <c r="K20" s="56"/>
      <c r="L20" s="56"/>
      <c r="M20" s="56"/>
      <c r="N20" s="56"/>
      <c r="O20" s="62"/>
    </row>
    <row r="21" spans="1:15" ht="30" x14ac:dyDescent="0.25">
      <c r="A21" s="679">
        <v>70</v>
      </c>
      <c r="B21" s="295" t="s">
        <v>307</v>
      </c>
      <c r="C21" s="685" t="s">
        <v>304</v>
      </c>
      <c r="D21" s="686">
        <v>0.35</v>
      </c>
      <c r="E21" s="685" t="s">
        <v>198</v>
      </c>
      <c r="F21" s="687">
        <v>2</v>
      </c>
      <c r="G21" s="682"/>
      <c r="H21" s="672"/>
      <c r="I21" s="673">
        <f>IF(H21="",D21*F21,D21*F21*H21)</f>
        <v>0.7</v>
      </c>
      <c r="J21" s="56"/>
      <c r="K21" s="56"/>
      <c r="L21" s="56"/>
      <c r="M21" s="56"/>
      <c r="N21" s="56"/>
      <c r="O21" s="62"/>
    </row>
    <row r="22" spans="1:15" x14ac:dyDescent="0.25">
      <c r="A22" s="67"/>
      <c r="B22" s="24"/>
      <c r="C22" s="24"/>
      <c r="D22" s="24"/>
      <c r="E22" s="24"/>
      <c r="F22" s="24"/>
      <c r="G22" s="24"/>
      <c r="H22" s="108" t="s">
        <v>18</v>
      </c>
      <c r="I22" s="106">
        <f>SUM(I15:I21)</f>
        <v>5.5368000000000004</v>
      </c>
      <c r="J22" s="24"/>
      <c r="K22" s="24"/>
      <c r="L22" s="24"/>
      <c r="M22" s="24"/>
      <c r="N22" s="24"/>
      <c r="O22" s="62"/>
    </row>
    <row r="23" spans="1:15" ht="15.75" thickBot="1" x14ac:dyDescent="0.3">
      <c r="A23" s="69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1"/>
    </row>
  </sheetData>
  <hyperlinks>
    <hyperlink ref="B4" location="SU_A0500" display="SU_A0500" xr:uid="{00000000-0004-0000-5600-000000000000}"/>
    <hyperlink ref="E3" location="dSU_05001" display="Drawing" xr:uid="{00000000-0004-0000-5600-000001000000}"/>
    <hyperlink ref="G2" location="SU_A0500_BOM" display="Back to BOM" xr:uid="{00000000-0004-0000-56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2" firstPageNumber="0" fitToHeight="99" orientation="landscape" r:id="rId1"/>
  <headerFooter>
    <oddFooter>Page &amp;P</oddFooter>
  </headerFooter>
  <rowBreaks count="2" manualBreakCount="2">
    <brk id="23" max="16383" man="1"/>
    <brk id="57" max="16383" man="1"/>
  </rowBreaks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7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s="275" t="s">
        <v>124</v>
      </c>
      <c r="B1" s="275" t="s">
        <v>309</v>
      </c>
    </row>
  </sheetData>
  <hyperlinks>
    <hyperlink ref="A1" location="EL_01001" display="Drawing part :" xr:uid="{00000000-0004-0000-5700-000000000000}"/>
    <hyperlink ref="B1" location="SU_05001" display="SU_05001" xr:uid="{00000000-0004-0000-57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800-000000000000}">
  <sheetPr>
    <tabColor rgb="FFFFFF00"/>
    <pageSetUpPr fitToPage="1"/>
  </sheetPr>
  <dimension ref="A1:O44"/>
  <sheetViews>
    <sheetView zoomScale="75" zoomScaleNormal="75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32.42578125" customWidth="1"/>
    <col min="3" max="3" width="45.85546875" customWidth="1"/>
    <col min="15" max="15" width="5.28515625" customWidth="1"/>
  </cols>
  <sheetData>
    <row r="1" spans="1:15" x14ac:dyDescent="0.25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25">
      <c r="A2" s="703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SU_A0600_pa+SU_A0600_m+SU_A0600_p+SU_A0600_f+SU_A0600_t</f>
        <v>12.856091357590071</v>
      </c>
      <c r="O2" s="264"/>
    </row>
    <row r="3" spans="1:15" x14ac:dyDescent="0.25">
      <c r="A3" s="703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264"/>
    </row>
    <row r="4" spans="1:15" x14ac:dyDescent="0.25">
      <c r="A4" s="703" t="s">
        <v>5</v>
      </c>
      <c r="B4" s="57" t="s">
        <v>315</v>
      </c>
      <c r="C4" s="704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264"/>
    </row>
    <row r="5" spans="1:15" x14ac:dyDescent="0.25">
      <c r="A5" s="703" t="s">
        <v>7</v>
      </c>
      <c r="B5" s="18" t="s">
        <v>316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74">
        <f>N2*N3</f>
        <v>25.712182715180141</v>
      </c>
      <c r="O5" s="264"/>
    </row>
    <row r="6" spans="1:15" x14ac:dyDescent="0.25">
      <c r="A6" s="703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264"/>
    </row>
    <row r="7" spans="1:15" x14ac:dyDescent="0.25">
      <c r="A7" s="703" t="s">
        <v>13</v>
      </c>
      <c r="B7" s="16" t="s">
        <v>317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64"/>
    </row>
    <row r="8" spans="1:15" x14ac:dyDescent="0.25">
      <c r="A8" s="705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64"/>
    </row>
    <row r="9" spans="1:15" x14ac:dyDescent="0.25">
      <c r="A9" s="706" t="s">
        <v>14</v>
      </c>
      <c r="B9" s="633" t="s">
        <v>15</v>
      </c>
      <c r="C9" s="633" t="s">
        <v>16</v>
      </c>
      <c r="D9" s="633" t="s">
        <v>17</v>
      </c>
      <c r="E9" s="633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264"/>
    </row>
    <row r="10" spans="1:15" x14ac:dyDescent="0.25">
      <c r="A10" s="707">
        <v>10</v>
      </c>
      <c r="B10" s="708" t="s">
        <v>311</v>
      </c>
      <c r="C10" s="277">
        <f>'SU 06001'!N2</f>
        <v>1.3710986506763019</v>
      </c>
      <c r="D10" s="709">
        <f>SU_06001_q</f>
        <v>2</v>
      </c>
      <c r="E10" s="277">
        <f>C10*D10</f>
        <v>2.7421973013526038</v>
      </c>
      <c r="F10" s="56"/>
      <c r="G10" s="56"/>
      <c r="H10" s="56"/>
      <c r="I10" s="56"/>
      <c r="J10" s="56"/>
      <c r="K10" s="56"/>
      <c r="L10" s="56"/>
      <c r="M10" s="56"/>
      <c r="N10" s="56"/>
      <c r="O10" s="264"/>
    </row>
    <row r="11" spans="1:15" x14ac:dyDescent="0.25">
      <c r="A11" s="707">
        <v>20</v>
      </c>
      <c r="B11" s="710" t="s">
        <v>312</v>
      </c>
      <c r="C11" s="277">
        <f>'SU 06002'!N2</f>
        <v>1.5427786126391492</v>
      </c>
      <c r="D11" s="671">
        <f>SU_06002_q</f>
        <v>1</v>
      </c>
      <c r="E11" s="277">
        <f>C11*D11</f>
        <v>1.5427786126391492</v>
      </c>
      <c r="F11" s="57"/>
      <c r="G11" s="57"/>
      <c r="H11" s="57"/>
      <c r="I11" s="57"/>
      <c r="J11" s="57"/>
      <c r="K11" s="57"/>
      <c r="L11" s="57"/>
      <c r="M11" s="57"/>
      <c r="N11" s="57"/>
      <c r="O11" s="264"/>
    </row>
    <row r="12" spans="1:15" x14ac:dyDescent="0.25">
      <c r="A12" s="707">
        <v>30</v>
      </c>
      <c r="B12" s="711" t="s">
        <v>313</v>
      </c>
      <c r="C12" s="277">
        <f>'SU 06003'!N2</f>
        <v>0.88140624999999995</v>
      </c>
      <c r="D12" s="671">
        <f>SU_06003_q</f>
        <v>2</v>
      </c>
      <c r="E12" s="277">
        <f>C12*D12</f>
        <v>1.7628124999999999</v>
      </c>
      <c r="F12" s="57"/>
      <c r="G12" s="57"/>
      <c r="H12" s="57"/>
      <c r="I12" s="57"/>
      <c r="J12" s="57"/>
      <c r="K12" s="57"/>
      <c r="L12" s="57"/>
      <c r="M12" s="57"/>
      <c r="N12" s="57"/>
      <c r="O12" s="712"/>
    </row>
    <row r="13" spans="1:15" x14ac:dyDescent="0.25">
      <c r="A13" s="713">
        <v>40</v>
      </c>
      <c r="B13" s="708" t="s">
        <v>314</v>
      </c>
      <c r="C13" s="277">
        <f>'SU 06004'!N2</f>
        <v>2.2702062500000002</v>
      </c>
      <c r="D13" s="26">
        <f>SU_06004_q</f>
        <v>2</v>
      </c>
      <c r="E13" s="277">
        <f>C13*D13</f>
        <v>4.5404125000000004</v>
      </c>
      <c r="F13" s="56"/>
      <c r="G13" s="56"/>
      <c r="H13" s="56"/>
      <c r="I13" s="56"/>
      <c r="J13" s="56"/>
      <c r="K13" s="56"/>
      <c r="L13" s="56"/>
      <c r="M13" s="56"/>
      <c r="N13" s="56"/>
      <c r="O13" s="264"/>
    </row>
    <row r="14" spans="1:15" x14ac:dyDescent="0.25">
      <c r="A14" s="705"/>
      <c r="B14" s="56"/>
      <c r="C14" s="56"/>
      <c r="D14" s="259" t="s">
        <v>18</v>
      </c>
      <c r="E14" s="238">
        <f>SUM(E10:E13)</f>
        <v>10.588200913991752</v>
      </c>
      <c r="F14" s="57"/>
      <c r="G14" s="57"/>
      <c r="H14" s="57"/>
      <c r="I14" s="57"/>
      <c r="J14" s="57"/>
      <c r="K14" s="57"/>
      <c r="L14" s="57"/>
      <c r="M14" s="57"/>
      <c r="N14" s="57"/>
      <c r="O14" s="264"/>
    </row>
    <row r="15" spans="1:15" x14ac:dyDescent="0.25">
      <c r="A15" s="705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264"/>
    </row>
    <row r="16" spans="1:15" x14ac:dyDescent="0.25">
      <c r="A16" s="703" t="s">
        <v>14</v>
      </c>
      <c r="B16" s="95" t="s">
        <v>19</v>
      </c>
      <c r="C16" s="95" t="s">
        <v>20</v>
      </c>
      <c r="D16" s="95" t="s">
        <v>21</v>
      </c>
      <c r="E16" s="95" t="s">
        <v>22</v>
      </c>
      <c r="F16" s="95" t="s">
        <v>23</v>
      </c>
      <c r="G16" s="95" t="s">
        <v>24</v>
      </c>
      <c r="H16" s="95" t="s">
        <v>25</v>
      </c>
      <c r="I16" s="95" t="s">
        <v>26</v>
      </c>
      <c r="J16" s="95" t="s">
        <v>27</v>
      </c>
      <c r="K16" s="95" t="s">
        <v>28</v>
      </c>
      <c r="L16" s="95" t="s">
        <v>29</v>
      </c>
      <c r="M16" s="95" t="s">
        <v>17</v>
      </c>
      <c r="N16" s="95" t="s">
        <v>18</v>
      </c>
      <c r="O16" s="264"/>
    </row>
    <row r="17" spans="1:15" x14ac:dyDescent="0.25">
      <c r="A17" s="714">
        <v>10</v>
      </c>
      <c r="B17" s="72" t="s">
        <v>276</v>
      </c>
      <c r="C17" s="72" t="s">
        <v>318</v>
      </c>
      <c r="D17" s="74">
        <v>10</v>
      </c>
      <c r="E17" s="72">
        <v>3.0000000000000001E-3</v>
      </c>
      <c r="F17" s="72" t="s">
        <v>202</v>
      </c>
      <c r="G17" s="72"/>
      <c r="H17" s="75"/>
      <c r="I17" s="76"/>
      <c r="J17" s="77"/>
      <c r="K17" s="75"/>
      <c r="L17" s="75"/>
      <c r="M17" s="81">
        <v>1</v>
      </c>
      <c r="N17" s="74">
        <f>M17*D17*E17</f>
        <v>0.03</v>
      </c>
      <c r="O17" s="264"/>
    </row>
    <row r="18" spans="1:15" s="22" customFormat="1" x14ac:dyDescent="0.25">
      <c r="A18" s="714">
        <v>20</v>
      </c>
      <c r="B18" s="72" t="s">
        <v>276</v>
      </c>
      <c r="C18" s="715" t="s">
        <v>319</v>
      </c>
      <c r="D18" s="74">
        <v>10</v>
      </c>
      <c r="E18" s="716">
        <v>6.0000000000000001E-3</v>
      </c>
      <c r="F18" s="716" t="s">
        <v>202</v>
      </c>
      <c r="G18" s="716"/>
      <c r="H18" s="75"/>
      <c r="I18" s="717"/>
      <c r="J18" s="94"/>
      <c r="K18" s="78"/>
      <c r="L18" s="79"/>
      <c r="M18" s="81">
        <v>1</v>
      </c>
      <c r="N18" s="74">
        <f>M18*D18*E18</f>
        <v>0.06</v>
      </c>
      <c r="O18" s="718"/>
    </row>
    <row r="19" spans="1:15" x14ac:dyDescent="0.25">
      <c r="A19" s="719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5" t="s">
        <v>18</v>
      </c>
      <c r="N19" s="97">
        <f>SUM(N17:N18)</f>
        <v>0.09</v>
      </c>
      <c r="O19" s="264"/>
    </row>
    <row r="20" spans="1:15" x14ac:dyDescent="0.25">
      <c r="A20" s="705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264"/>
    </row>
    <row r="21" spans="1:15" s="25" customFormat="1" x14ac:dyDescent="0.25">
      <c r="A21" s="703" t="s">
        <v>14</v>
      </c>
      <c r="B21" s="95" t="s">
        <v>31</v>
      </c>
      <c r="C21" s="95" t="s">
        <v>20</v>
      </c>
      <c r="D21" s="95" t="s">
        <v>21</v>
      </c>
      <c r="E21" s="95" t="s">
        <v>32</v>
      </c>
      <c r="F21" s="95" t="s">
        <v>17</v>
      </c>
      <c r="G21" s="95" t="s">
        <v>33</v>
      </c>
      <c r="H21" s="95" t="s">
        <v>34</v>
      </c>
      <c r="I21" s="95" t="s">
        <v>18</v>
      </c>
      <c r="J21" s="24"/>
      <c r="K21" s="24"/>
      <c r="L21" s="24"/>
      <c r="M21" s="24"/>
      <c r="N21" s="24"/>
      <c r="O21" s="720"/>
    </row>
    <row r="22" spans="1:15" x14ac:dyDescent="0.25">
      <c r="A22" s="714">
        <v>10</v>
      </c>
      <c r="B22" s="72" t="s">
        <v>160</v>
      </c>
      <c r="C22" s="72" t="s">
        <v>320</v>
      </c>
      <c r="D22" s="74">
        <v>0.15</v>
      </c>
      <c r="E22" s="72" t="s">
        <v>40</v>
      </c>
      <c r="F22" s="721">
        <v>10</v>
      </c>
      <c r="G22" s="721"/>
      <c r="H22" s="721"/>
      <c r="I22" s="74">
        <f t="shared" ref="I22:I31" si="0">IF(H22="",D22*F22,D22*F22*H22)</f>
        <v>1.5</v>
      </c>
      <c r="J22" s="56"/>
      <c r="K22" s="56"/>
      <c r="L22" s="56"/>
      <c r="M22" s="56"/>
      <c r="N22" s="56"/>
      <c r="O22" s="264"/>
    </row>
    <row r="23" spans="1:15" x14ac:dyDescent="0.25">
      <c r="A23" s="714">
        <v>20</v>
      </c>
      <c r="B23" s="722" t="s">
        <v>280</v>
      </c>
      <c r="C23" s="72" t="s">
        <v>321</v>
      </c>
      <c r="D23" s="74">
        <v>5.25</v>
      </c>
      <c r="E23" s="722" t="s">
        <v>202</v>
      </c>
      <c r="F23" s="721">
        <v>6.0000000000000001E-3</v>
      </c>
      <c r="G23" s="72"/>
      <c r="H23" s="72"/>
      <c r="I23" s="74">
        <f t="shared" si="0"/>
        <v>3.15E-2</v>
      </c>
      <c r="J23" s="56"/>
      <c r="K23" s="56"/>
      <c r="L23" s="56"/>
      <c r="M23" s="56"/>
      <c r="N23" s="56"/>
      <c r="O23" s="264"/>
    </row>
    <row r="24" spans="1:15" x14ac:dyDescent="0.25">
      <c r="A24" s="714">
        <v>30</v>
      </c>
      <c r="B24" s="722" t="s">
        <v>280</v>
      </c>
      <c r="C24" s="72" t="s">
        <v>322</v>
      </c>
      <c r="D24" s="74">
        <v>5.25</v>
      </c>
      <c r="E24" s="72" t="s">
        <v>202</v>
      </c>
      <c r="F24" s="721">
        <v>1.2E-2</v>
      </c>
      <c r="G24" s="72"/>
      <c r="H24" s="72"/>
      <c r="I24" s="74">
        <f t="shared" si="0"/>
        <v>6.3E-2</v>
      </c>
      <c r="J24" s="56"/>
      <c r="K24" s="56"/>
      <c r="L24" s="56"/>
      <c r="M24" s="56"/>
      <c r="N24" s="56"/>
      <c r="O24" s="264"/>
    </row>
    <row r="25" spans="1:15" s="17" customFormat="1" x14ac:dyDescent="0.25">
      <c r="A25" s="714">
        <v>40</v>
      </c>
      <c r="B25" s="722" t="s">
        <v>154</v>
      </c>
      <c r="C25" s="72" t="s">
        <v>323</v>
      </c>
      <c r="D25" s="74">
        <v>0.06</v>
      </c>
      <c r="E25" s="72" t="s">
        <v>35</v>
      </c>
      <c r="F25" s="721">
        <v>1</v>
      </c>
      <c r="G25" s="72"/>
      <c r="H25" s="72"/>
      <c r="I25" s="74">
        <f t="shared" si="0"/>
        <v>0.06</v>
      </c>
      <c r="J25" s="57"/>
      <c r="K25" s="57"/>
      <c r="L25" s="57"/>
      <c r="M25" s="57"/>
      <c r="N25" s="57"/>
      <c r="O25" s="723"/>
    </row>
    <row r="26" spans="1:15" s="25" customFormat="1" x14ac:dyDescent="0.25">
      <c r="A26" s="714">
        <v>50</v>
      </c>
      <c r="B26" s="722" t="s">
        <v>154</v>
      </c>
      <c r="C26" s="72" t="s">
        <v>324</v>
      </c>
      <c r="D26" s="74">
        <v>0.06</v>
      </c>
      <c r="E26" s="72" t="s">
        <v>35</v>
      </c>
      <c r="F26" s="721">
        <v>1</v>
      </c>
      <c r="G26" s="721"/>
      <c r="H26" s="721"/>
      <c r="I26" s="74">
        <f t="shared" si="0"/>
        <v>0.06</v>
      </c>
      <c r="J26" s="57"/>
      <c r="K26" s="57"/>
      <c r="L26" s="57"/>
      <c r="M26" s="57"/>
      <c r="N26" s="57"/>
      <c r="O26" s="720"/>
    </row>
    <row r="27" spans="1:15" s="17" customFormat="1" ht="14.45" customHeight="1" x14ac:dyDescent="0.25">
      <c r="A27" s="724">
        <v>60</v>
      </c>
      <c r="B27" s="725" t="s">
        <v>154</v>
      </c>
      <c r="C27" s="725" t="s">
        <v>325</v>
      </c>
      <c r="D27" s="74">
        <v>0.06</v>
      </c>
      <c r="E27" s="725" t="s">
        <v>35</v>
      </c>
      <c r="F27" s="726">
        <v>1</v>
      </c>
      <c r="G27" s="232"/>
      <c r="H27" s="72"/>
      <c r="I27" s="74">
        <f t="shared" si="0"/>
        <v>0.06</v>
      </c>
      <c r="J27" s="57"/>
      <c r="K27" s="57"/>
      <c r="L27" s="57"/>
      <c r="M27" s="57"/>
      <c r="N27" s="57"/>
      <c r="O27" s="723"/>
    </row>
    <row r="28" spans="1:15" s="17" customFormat="1" ht="14.45" customHeight="1" x14ac:dyDescent="0.25">
      <c r="A28" s="707">
        <v>70</v>
      </c>
      <c r="B28" s="727" t="s">
        <v>289</v>
      </c>
      <c r="C28" s="649" t="s">
        <v>326</v>
      </c>
      <c r="D28" s="277">
        <v>0.12</v>
      </c>
      <c r="E28" s="27" t="s">
        <v>35</v>
      </c>
      <c r="F28" s="26">
        <v>1</v>
      </c>
      <c r="G28" s="671"/>
      <c r="H28" s="728"/>
      <c r="I28" s="74">
        <f t="shared" si="0"/>
        <v>0.12</v>
      </c>
      <c r="J28" s="57"/>
      <c r="K28" s="57"/>
      <c r="L28" s="57"/>
      <c r="M28" s="57"/>
      <c r="N28" s="57"/>
      <c r="O28" s="723"/>
    </row>
    <row r="29" spans="1:15" s="17" customFormat="1" ht="14.45" customHeight="1" x14ac:dyDescent="0.25">
      <c r="A29" s="707">
        <v>80</v>
      </c>
      <c r="B29" s="727" t="s">
        <v>289</v>
      </c>
      <c r="C29" s="729" t="s">
        <v>327</v>
      </c>
      <c r="D29" s="277">
        <v>0.12</v>
      </c>
      <c r="E29" s="27" t="s">
        <v>35</v>
      </c>
      <c r="F29" s="26">
        <v>1</v>
      </c>
      <c r="G29" s="671"/>
      <c r="H29" s="728"/>
      <c r="I29" s="74">
        <f t="shared" si="0"/>
        <v>0.12</v>
      </c>
      <c r="J29" s="57"/>
      <c r="K29" s="57"/>
      <c r="L29" s="57"/>
      <c r="M29" s="57"/>
      <c r="N29" s="57"/>
      <c r="O29" s="723"/>
    </row>
    <row r="30" spans="1:15" s="17" customFormat="1" ht="14.45" customHeight="1" x14ac:dyDescent="0.25">
      <c r="A30" s="707">
        <v>90</v>
      </c>
      <c r="B30" s="727" t="s">
        <v>292</v>
      </c>
      <c r="C30" s="729" t="s">
        <v>293</v>
      </c>
      <c r="D30" s="277">
        <v>0.75</v>
      </c>
      <c r="E30" s="27" t="s">
        <v>35</v>
      </c>
      <c r="F30" s="26">
        <v>1</v>
      </c>
      <c r="G30" s="671"/>
      <c r="H30" s="728"/>
      <c r="I30" s="74">
        <f t="shared" si="0"/>
        <v>0.75</v>
      </c>
      <c r="J30" s="57"/>
      <c r="K30" s="57"/>
      <c r="L30" s="57"/>
      <c r="M30" s="57"/>
      <c r="N30" s="57"/>
      <c r="O30" s="723"/>
    </row>
    <row r="31" spans="1:15" s="17" customFormat="1" ht="14.45" customHeight="1" x14ac:dyDescent="0.25">
      <c r="A31" s="707">
        <v>100</v>
      </c>
      <c r="B31" s="727" t="s">
        <v>294</v>
      </c>
      <c r="C31" s="729" t="s">
        <v>293</v>
      </c>
      <c r="D31" s="277">
        <v>0.25</v>
      </c>
      <c r="E31" s="27" t="s">
        <v>35</v>
      </c>
      <c r="F31" s="26">
        <v>1</v>
      </c>
      <c r="G31" s="671"/>
      <c r="H31" s="728"/>
      <c r="I31" s="74">
        <f t="shared" si="0"/>
        <v>0.25</v>
      </c>
      <c r="J31" s="57"/>
      <c r="K31" s="57"/>
      <c r="L31" s="57"/>
      <c r="M31" s="57"/>
      <c r="N31" s="57"/>
      <c r="O31" s="723"/>
    </row>
    <row r="32" spans="1:15" x14ac:dyDescent="0.25">
      <c r="A32" s="719"/>
      <c r="B32" s="24"/>
      <c r="C32" s="24"/>
      <c r="D32" s="24"/>
      <c r="E32" s="24"/>
      <c r="F32" s="24"/>
      <c r="G32" s="24"/>
      <c r="H32" s="98" t="s">
        <v>18</v>
      </c>
      <c r="I32" s="97">
        <f>SUM(I22:I24)</f>
        <v>1.5945</v>
      </c>
      <c r="J32" s="56"/>
      <c r="K32" s="56"/>
      <c r="L32" s="56"/>
      <c r="M32" s="56"/>
      <c r="N32" s="56"/>
      <c r="O32" s="264"/>
    </row>
    <row r="33" spans="1:15" x14ac:dyDescent="0.25">
      <c r="A33" s="705"/>
      <c r="B33" s="56"/>
      <c r="C33" s="56"/>
      <c r="D33" s="56"/>
      <c r="E33" s="56"/>
      <c r="F33" s="56"/>
      <c r="G33" s="56"/>
      <c r="H33" s="56"/>
      <c r="I33" s="56"/>
      <c r="J33" s="56"/>
      <c r="K33" s="56"/>
      <c r="L33" s="56"/>
      <c r="M33" s="56"/>
      <c r="N33" s="56"/>
      <c r="O33" s="264"/>
    </row>
    <row r="34" spans="1:15" x14ac:dyDescent="0.25">
      <c r="A34" s="703" t="s">
        <v>14</v>
      </c>
      <c r="B34" s="95" t="s">
        <v>36</v>
      </c>
      <c r="C34" s="95" t="s">
        <v>20</v>
      </c>
      <c r="D34" s="95" t="s">
        <v>21</v>
      </c>
      <c r="E34" s="95" t="s">
        <v>22</v>
      </c>
      <c r="F34" s="95" t="s">
        <v>23</v>
      </c>
      <c r="G34" s="95" t="s">
        <v>24</v>
      </c>
      <c r="H34" s="95" t="s">
        <v>25</v>
      </c>
      <c r="I34" s="95" t="s">
        <v>17</v>
      </c>
      <c r="J34" s="95" t="s">
        <v>18</v>
      </c>
      <c r="K34" s="56"/>
      <c r="L34" s="56"/>
      <c r="M34" s="56"/>
      <c r="N34" s="56"/>
      <c r="O34" s="264"/>
    </row>
    <row r="35" spans="1:15" x14ac:dyDescent="0.25">
      <c r="A35" s="714">
        <v>10</v>
      </c>
      <c r="B35" s="72" t="s">
        <v>295</v>
      </c>
      <c r="C35" s="72" t="s">
        <v>328</v>
      </c>
      <c r="D35" s="659">
        <f>0.8/105154*E35^2*G35*SQRT(G35)+0.003*EXP(0.319*E35)</f>
        <v>0.18547981844542938</v>
      </c>
      <c r="E35" s="660">
        <v>8</v>
      </c>
      <c r="F35" s="660" t="s">
        <v>30</v>
      </c>
      <c r="G35" s="660">
        <v>45</v>
      </c>
      <c r="H35" s="660" t="s">
        <v>30</v>
      </c>
      <c r="I35" s="82">
        <v>1</v>
      </c>
      <c r="J35" s="74">
        <f>D35*I35</f>
        <v>0.18547981844542938</v>
      </c>
      <c r="K35" s="56"/>
      <c r="L35" s="56"/>
      <c r="M35" s="56"/>
      <c r="N35" s="56"/>
      <c r="O35" s="264"/>
    </row>
    <row r="36" spans="1:15" x14ac:dyDescent="0.25">
      <c r="A36" s="714">
        <v>20</v>
      </c>
      <c r="B36" s="72" t="s">
        <v>297</v>
      </c>
      <c r="C36" s="72" t="s">
        <v>328</v>
      </c>
      <c r="D36" s="659">
        <v>0.01</v>
      </c>
      <c r="E36" s="72"/>
      <c r="F36" s="661" t="s">
        <v>35</v>
      </c>
      <c r="G36" s="72"/>
      <c r="H36" s="72"/>
      <c r="I36" s="82">
        <v>2</v>
      </c>
      <c r="J36" s="74">
        <f>I36*D36</f>
        <v>0.02</v>
      </c>
      <c r="K36" s="56"/>
      <c r="L36" s="56"/>
      <c r="M36" s="56"/>
      <c r="N36" s="56"/>
      <c r="O36" s="264"/>
    </row>
    <row r="37" spans="1:15" x14ac:dyDescent="0.25">
      <c r="A37" s="714">
        <v>30</v>
      </c>
      <c r="B37" s="72" t="s">
        <v>298</v>
      </c>
      <c r="C37" s="72" t="s">
        <v>328</v>
      </c>
      <c r="D37" s="659">
        <f>0.009*EXP(0.2*E37)</f>
        <v>4.4577291819556032E-2</v>
      </c>
      <c r="E37" s="72">
        <v>8</v>
      </c>
      <c r="F37" s="661" t="s">
        <v>30</v>
      </c>
      <c r="G37" s="72"/>
      <c r="H37" s="72"/>
      <c r="I37" s="82">
        <v>1</v>
      </c>
      <c r="J37" s="74">
        <f>D37*I37</f>
        <v>4.4577291819556032E-2</v>
      </c>
      <c r="K37" s="56"/>
      <c r="L37" s="56"/>
      <c r="M37" s="56"/>
      <c r="N37" s="56"/>
      <c r="O37" s="264"/>
    </row>
    <row r="38" spans="1:15" x14ac:dyDescent="0.25">
      <c r="A38" s="719"/>
      <c r="B38" s="24"/>
      <c r="C38" s="24"/>
      <c r="D38" s="24"/>
      <c r="E38" s="24"/>
      <c r="F38" s="24"/>
      <c r="G38" s="24"/>
      <c r="H38" s="24"/>
      <c r="I38" s="98" t="s">
        <v>18</v>
      </c>
      <c r="J38" s="97">
        <f>SUM(J35:J37)</f>
        <v>0.25005711026498539</v>
      </c>
      <c r="K38" s="56"/>
      <c r="L38" s="56"/>
      <c r="M38" s="56"/>
      <c r="N38" s="56"/>
      <c r="O38" s="264"/>
    </row>
    <row r="39" spans="1:15" x14ac:dyDescent="0.25">
      <c r="A39" s="705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264"/>
    </row>
    <row r="40" spans="1:15" x14ac:dyDescent="0.25">
      <c r="A40" s="703" t="s">
        <v>14</v>
      </c>
      <c r="B40" s="95" t="s">
        <v>179</v>
      </c>
      <c r="C40" s="95" t="s">
        <v>20</v>
      </c>
      <c r="D40" s="95" t="s">
        <v>21</v>
      </c>
      <c r="E40" s="95" t="s">
        <v>32</v>
      </c>
      <c r="F40" s="95" t="s">
        <v>17</v>
      </c>
      <c r="G40" s="95" t="s">
        <v>180</v>
      </c>
      <c r="H40" s="95" t="s">
        <v>181</v>
      </c>
      <c r="I40" s="95" t="s">
        <v>18</v>
      </c>
      <c r="J40" s="24"/>
      <c r="K40" s="56"/>
      <c r="L40" s="56"/>
      <c r="M40" s="56"/>
      <c r="N40" s="56"/>
      <c r="O40" s="264"/>
    </row>
    <row r="41" spans="1:15" x14ac:dyDescent="0.25">
      <c r="A41" s="714">
        <v>10</v>
      </c>
      <c r="B41" s="72" t="s">
        <v>182</v>
      </c>
      <c r="C41" s="72" t="s">
        <v>329</v>
      </c>
      <c r="D41" s="74">
        <v>500</v>
      </c>
      <c r="E41" s="72" t="s">
        <v>184</v>
      </c>
      <c r="F41" s="72">
        <v>2</v>
      </c>
      <c r="G41" s="72">
        <v>3000</v>
      </c>
      <c r="H41" s="72">
        <v>1</v>
      </c>
      <c r="I41" s="74">
        <f>D41*F41/G41*H41</f>
        <v>0.33333333333333331</v>
      </c>
      <c r="J41" s="24"/>
      <c r="K41" s="56"/>
      <c r="L41" s="56"/>
      <c r="M41" s="56"/>
      <c r="N41" s="56"/>
      <c r="O41" s="264"/>
    </row>
    <row r="42" spans="1:15" x14ac:dyDescent="0.25">
      <c r="A42" s="719"/>
      <c r="B42" s="24"/>
      <c r="C42" s="24"/>
      <c r="D42" s="24"/>
      <c r="E42" s="24"/>
      <c r="F42" s="24"/>
      <c r="G42" s="24"/>
      <c r="H42" s="259" t="s">
        <v>18</v>
      </c>
      <c r="I42" s="238">
        <f>SUM(I41:I41)</f>
        <v>0.33333333333333331</v>
      </c>
      <c r="J42" s="24"/>
      <c r="K42" s="56"/>
      <c r="L42" s="56"/>
      <c r="M42" s="56"/>
      <c r="N42" s="56"/>
      <c r="O42" s="264"/>
    </row>
    <row r="43" spans="1:15" ht="15.75" thickBot="1" x14ac:dyDescent="0.3">
      <c r="A43" s="284"/>
      <c r="B43" s="285"/>
      <c r="C43" s="285"/>
      <c r="D43" s="285"/>
      <c r="E43" s="285"/>
      <c r="F43" s="285"/>
      <c r="G43" s="285"/>
      <c r="H43" s="285"/>
      <c r="I43" s="285"/>
      <c r="J43" s="285"/>
      <c r="K43" s="285"/>
      <c r="L43" s="285"/>
      <c r="M43" s="285"/>
      <c r="N43" s="285"/>
      <c r="O43" s="286"/>
    </row>
    <row r="44" spans="1:15" x14ac:dyDescent="0.25">
      <c r="A44" s="56"/>
      <c r="B44" s="56"/>
      <c r="C44" s="56"/>
      <c r="D44" s="56"/>
      <c r="E44" s="56"/>
      <c r="F44" s="56"/>
      <c r="G44" s="56"/>
      <c r="H44" s="56"/>
      <c r="I44" s="56"/>
      <c r="J44" s="56"/>
      <c r="K44" s="56"/>
      <c r="L44" s="56"/>
      <c r="M44" s="56"/>
      <c r="N44" s="56"/>
    </row>
  </sheetData>
  <hyperlinks>
    <hyperlink ref="B10" location="SU_06001" display="Rocker bushing" xr:uid="{00000000-0004-0000-5800-000000000000}"/>
    <hyperlink ref="B11" location="SU_06002" display="Rocker spacer" xr:uid="{00000000-0004-0000-5800-000001000000}"/>
    <hyperlink ref="B12" location="SU_06003" display="Sheets of metal for rocker" xr:uid="{00000000-0004-0000-5800-000002000000}"/>
    <hyperlink ref="B13" location="SU_06004" display="Front rocker mount" xr:uid="{00000000-0004-0000-5800-000003000000}"/>
    <hyperlink ref="E2" location="SU_A0600_BOM" display="Back to BOM" xr:uid="{00000000-0004-0000-5800-000004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3" firstPageNumber="0" fitToHeight="99" orientation="landscape" r:id="rId1"/>
  <headerFooter>
    <oddFooter>Page &amp;P</oddFooter>
  </headerFooter>
  <rowBreaks count="1" manualBreakCount="1">
    <brk id="43" max="16383" man="1"/>
  </rowBreak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FFFF66"/>
    <pageSetUpPr fitToPage="1"/>
  </sheetPr>
  <dimension ref="A1:Q18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2" max="2" width="25.140625" customWidth="1"/>
    <col min="3" max="3" width="30.5703125" customWidth="1"/>
    <col min="7" max="7" width="13.85546875" customWidth="1"/>
    <col min="9" max="9" width="14" customWidth="1"/>
    <col min="17" max="17" width="12.85546875" bestFit="1" customWidth="1"/>
  </cols>
  <sheetData>
    <row r="1" spans="1:17" x14ac:dyDescent="0.25">
      <c r="A1" s="335"/>
      <c r="B1" s="336"/>
      <c r="C1" s="336"/>
      <c r="D1" s="336"/>
      <c r="E1" s="336"/>
      <c r="F1" s="336"/>
      <c r="G1" s="336"/>
      <c r="H1" s="336"/>
      <c r="I1" s="336"/>
      <c r="J1" s="336"/>
      <c r="K1" s="336"/>
      <c r="L1" s="336"/>
      <c r="M1" s="336"/>
      <c r="N1" s="336"/>
      <c r="O1" s="337"/>
    </row>
    <row r="2" spans="1:17" x14ac:dyDescent="0.25">
      <c r="A2" s="338" t="s">
        <v>0</v>
      </c>
      <c r="B2" s="339" t="s">
        <v>37</v>
      </c>
      <c r="C2" s="340"/>
      <c r="D2" s="340"/>
      <c r="E2" s="340"/>
      <c r="F2" s="340"/>
      <c r="G2" s="341" t="s">
        <v>62</v>
      </c>
      <c r="H2" s="340"/>
      <c r="I2" s="340"/>
      <c r="J2" s="342" t="s">
        <v>1</v>
      </c>
      <c r="K2" s="343">
        <v>81</v>
      </c>
      <c r="L2" s="340"/>
      <c r="M2" s="338" t="s">
        <v>16</v>
      </c>
      <c r="N2" s="344">
        <f>N12+I17</f>
        <v>0.98904401600000003</v>
      </c>
      <c r="O2" s="345"/>
    </row>
    <row r="3" spans="1:17" x14ac:dyDescent="0.25">
      <c r="A3" s="338" t="s">
        <v>3</v>
      </c>
      <c r="B3" s="339" t="str">
        <f>'SU A0100'!B3</f>
        <v>Suspension &amp; Shocks</v>
      </c>
      <c r="C3" s="340"/>
      <c r="D3" s="338" t="s">
        <v>6</v>
      </c>
      <c r="E3" s="382" t="s">
        <v>60</v>
      </c>
      <c r="F3" s="340"/>
      <c r="G3" s="340"/>
      <c r="H3" s="340"/>
      <c r="I3" s="340"/>
      <c r="J3" s="340"/>
      <c r="K3" s="340"/>
      <c r="L3" s="340"/>
      <c r="M3" s="338" t="s">
        <v>4</v>
      </c>
      <c r="N3" s="347">
        <v>2</v>
      </c>
      <c r="O3" s="345"/>
    </row>
    <row r="4" spans="1:17" x14ac:dyDescent="0.25">
      <c r="A4" s="338" t="s">
        <v>5</v>
      </c>
      <c r="B4" s="341" t="str">
        <f>'SU A0100'!B4</f>
        <v>Upper Front A-arm</v>
      </c>
      <c r="C4" s="340"/>
      <c r="D4" s="338" t="s">
        <v>8</v>
      </c>
      <c r="E4" s="340"/>
      <c r="F4" s="340"/>
      <c r="G4" s="340"/>
      <c r="H4" s="340"/>
      <c r="I4" s="340"/>
      <c r="J4" s="348" t="s">
        <v>6</v>
      </c>
      <c r="K4" s="340"/>
      <c r="L4" s="340"/>
      <c r="M4" s="340"/>
      <c r="N4" s="340"/>
      <c r="O4" s="345"/>
    </row>
    <row r="5" spans="1:17" x14ac:dyDescent="0.25">
      <c r="A5" s="338" t="s">
        <v>15</v>
      </c>
      <c r="B5" s="383" t="s">
        <v>122</v>
      </c>
      <c r="C5" s="340"/>
      <c r="D5" s="338" t="s">
        <v>12</v>
      </c>
      <c r="E5" s="340"/>
      <c r="F5" s="340"/>
      <c r="G5" s="340"/>
      <c r="H5" s="340"/>
      <c r="I5" s="340"/>
      <c r="J5" s="348" t="s">
        <v>8</v>
      </c>
      <c r="K5" s="340"/>
      <c r="L5" s="340"/>
      <c r="M5" s="338" t="s">
        <v>9</v>
      </c>
      <c r="N5" s="344">
        <f>N3*N2</f>
        <v>1.9780880320000001</v>
      </c>
      <c r="O5" s="345"/>
    </row>
    <row r="6" spans="1:17" x14ac:dyDescent="0.25">
      <c r="A6" s="338" t="s">
        <v>7</v>
      </c>
      <c r="B6" s="350" t="s">
        <v>101</v>
      </c>
      <c r="C6" s="340"/>
      <c r="D6" s="340"/>
      <c r="E6" s="340"/>
      <c r="F6" s="340"/>
      <c r="G6" s="340"/>
      <c r="H6" s="340"/>
      <c r="I6" s="340"/>
      <c r="J6" s="348" t="s">
        <v>12</v>
      </c>
      <c r="K6" s="340"/>
      <c r="L6" s="340"/>
      <c r="M6" s="340"/>
      <c r="N6" s="340"/>
      <c r="O6" s="345"/>
    </row>
    <row r="7" spans="1:17" x14ac:dyDescent="0.25">
      <c r="A7" s="338" t="s">
        <v>10</v>
      </c>
      <c r="B7" s="339" t="s">
        <v>11</v>
      </c>
      <c r="C7" s="340"/>
      <c r="D7" s="340"/>
      <c r="E7" s="340"/>
      <c r="F7" s="340"/>
      <c r="G7" s="340"/>
      <c r="H7" s="340"/>
      <c r="I7" s="340"/>
      <c r="J7" s="340"/>
      <c r="K7" s="340"/>
      <c r="L7" s="340"/>
      <c r="M7" s="340"/>
      <c r="N7" s="340"/>
      <c r="O7" s="345"/>
    </row>
    <row r="8" spans="1:17" x14ac:dyDescent="0.25">
      <c r="A8" s="338" t="s">
        <v>13</v>
      </c>
      <c r="B8" s="339"/>
      <c r="C8" s="340"/>
      <c r="D8" s="340"/>
      <c r="E8" s="340"/>
      <c r="F8" s="340"/>
      <c r="G8" s="340"/>
      <c r="H8" s="340"/>
      <c r="I8" s="340"/>
      <c r="J8" s="340"/>
      <c r="K8" s="340"/>
      <c r="L8" s="340"/>
      <c r="M8" s="340"/>
      <c r="N8" s="340"/>
      <c r="O8" s="345"/>
    </row>
    <row r="9" spans="1:17" x14ac:dyDescent="0.25">
      <c r="A9" s="351"/>
      <c r="B9" s="352"/>
      <c r="C9" s="352"/>
      <c r="D9" s="352"/>
      <c r="E9" s="352"/>
      <c r="F9" s="340"/>
      <c r="G9" s="340"/>
      <c r="H9" s="340"/>
      <c r="I9" s="340"/>
      <c r="J9" s="340"/>
      <c r="K9" s="340"/>
      <c r="L9" s="340"/>
      <c r="M9" s="340"/>
      <c r="N9" s="340"/>
      <c r="O9" s="345"/>
    </row>
    <row r="10" spans="1:17" x14ac:dyDescent="0.25">
      <c r="A10" s="353" t="s">
        <v>14</v>
      </c>
      <c r="B10" s="354" t="s">
        <v>19</v>
      </c>
      <c r="C10" s="354" t="s">
        <v>20</v>
      </c>
      <c r="D10" s="354" t="s">
        <v>21</v>
      </c>
      <c r="E10" s="354" t="s">
        <v>22</v>
      </c>
      <c r="F10" s="355" t="s">
        <v>23</v>
      </c>
      <c r="G10" s="355" t="s">
        <v>24</v>
      </c>
      <c r="H10" s="355" t="s">
        <v>25</v>
      </c>
      <c r="I10" s="355" t="s">
        <v>26</v>
      </c>
      <c r="J10" s="355" t="s">
        <v>27</v>
      </c>
      <c r="K10" s="355" t="s">
        <v>28</v>
      </c>
      <c r="L10" s="355" t="s">
        <v>29</v>
      </c>
      <c r="M10" s="355" t="s">
        <v>17</v>
      </c>
      <c r="N10" s="355" t="s">
        <v>18</v>
      </c>
      <c r="O10" s="345"/>
    </row>
    <row r="11" spans="1:17" x14ac:dyDescent="0.25">
      <c r="A11" s="356">
        <v>10</v>
      </c>
      <c r="B11" s="384" t="s">
        <v>98</v>
      </c>
      <c r="C11" s="360" t="s">
        <v>38</v>
      </c>
      <c r="D11" s="367">
        <v>2.25</v>
      </c>
      <c r="E11" s="362">
        <f>J11*K11*L11</f>
        <v>1.7352896E-2</v>
      </c>
      <c r="F11" s="360" t="s">
        <v>94</v>
      </c>
      <c r="G11" s="360"/>
      <c r="H11" s="361"/>
      <c r="I11" s="362" t="s">
        <v>97</v>
      </c>
      <c r="J11" s="363">
        <f>3.14*8*8/1000000</f>
        <v>2.0096E-4</v>
      </c>
      <c r="K11" s="363">
        <v>1.0999999999999999E-2</v>
      </c>
      <c r="L11" s="365">
        <v>7850</v>
      </c>
      <c r="M11" s="366">
        <v>1</v>
      </c>
      <c r="N11" s="367">
        <f>D11*E11*M11</f>
        <v>3.9044016000000001E-2</v>
      </c>
      <c r="O11" s="368"/>
      <c r="Q11" s="131"/>
    </row>
    <row r="12" spans="1:17" x14ac:dyDescent="0.25">
      <c r="A12" s="369"/>
      <c r="B12" s="370"/>
      <c r="C12" s="370"/>
      <c r="D12" s="370"/>
      <c r="E12" s="370"/>
      <c r="F12" s="370"/>
      <c r="G12" s="370"/>
      <c r="H12" s="370"/>
      <c r="I12" s="370"/>
      <c r="J12" s="370"/>
      <c r="K12" s="370"/>
      <c r="L12" s="370"/>
      <c r="M12" s="371" t="s">
        <v>18</v>
      </c>
      <c r="N12" s="372">
        <f>SUM(N11:N11)</f>
        <v>3.9044016000000001E-2</v>
      </c>
      <c r="O12" s="345"/>
    </row>
    <row r="13" spans="1:17" x14ac:dyDescent="0.25">
      <c r="A13" s="373"/>
      <c r="B13" s="340"/>
      <c r="C13" s="340"/>
      <c r="D13" s="340"/>
      <c r="E13" s="340"/>
      <c r="F13" s="340"/>
      <c r="G13" s="340"/>
      <c r="H13" s="340"/>
      <c r="I13" s="340"/>
      <c r="J13" s="340"/>
      <c r="K13" s="340"/>
      <c r="L13" s="340"/>
      <c r="M13" s="340"/>
      <c r="N13" s="340"/>
      <c r="O13" s="345"/>
    </row>
    <row r="14" spans="1:17" x14ac:dyDescent="0.25">
      <c r="A14" s="374" t="s">
        <v>14</v>
      </c>
      <c r="B14" s="355" t="s">
        <v>31</v>
      </c>
      <c r="C14" s="355" t="s">
        <v>20</v>
      </c>
      <c r="D14" s="355" t="s">
        <v>21</v>
      </c>
      <c r="E14" s="355" t="s">
        <v>32</v>
      </c>
      <c r="F14" s="355" t="s">
        <v>17</v>
      </c>
      <c r="G14" s="355" t="s">
        <v>33</v>
      </c>
      <c r="H14" s="355" t="s">
        <v>34</v>
      </c>
      <c r="I14" s="355" t="s">
        <v>18</v>
      </c>
      <c r="J14" s="370"/>
      <c r="K14" s="370"/>
      <c r="L14" s="370"/>
      <c r="M14" s="370"/>
      <c r="N14" s="370"/>
      <c r="O14" s="345"/>
    </row>
    <row r="15" spans="1:17" ht="30" x14ac:dyDescent="0.25">
      <c r="A15" s="327">
        <v>10</v>
      </c>
      <c r="B15" s="327" t="s">
        <v>39</v>
      </c>
      <c r="C15" s="327" t="s">
        <v>68</v>
      </c>
      <c r="D15" s="332">
        <v>1.3</v>
      </c>
      <c r="E15" s="327" t="s">
        <v>32</v>
      </c>
      <c r="F15" s="231">
        <v>1</v>
      </c>
      <c r="G15" s="326" t="s">
        <v>221</v>
      </c>
      <c r="H15" s="326">
        <v>0.5</v>
      </c>
      <c r="I15" s="334">
        <f>IF(H15="",D15*F15,D15*F15*H15)</f>
        <v>0.65</v>
      </c>
      <c r="J15" s="376"/>
      <c r="K15" s="376"/>
      <c r="L15" s="376"/>
      <c r="M15" s="376"/>
      <c r="N15" s="376"/>
      <c r="O15" s="377"/>
    </row>
    <row r="16" spans="1:17" x14ac:dyDescent="0.25">
      <c r="A16" s="385">
        <v>20</v>
      </c>
      <c r="B16" s="385" t="s">
        <v>92</v>
      </c>
      <c r="C16" s="385" t="s">
        <v>196</v>
      </c>
      <c r="D16" s="386">
        <v>0.04</v>
      </c>
      <c r="E16" s="385" t="s">
        <v>93</v>
      </c>
      <c r="F16" s="385">
        <v>2.5</v>
      </c>
      <c r="G16" s="385" t="s">
        <v>197</v>
      </c>
      <c r="H16" s="385">
        <v>3</v>
      </c>
      <c r="I16" s="334">
        <f>IF(H16="",D16*F16,D16*F16*H16)</f>
        <v>0.30000000000000004</v>
      </c>
      <c r="J16" s="340"/>
      <c r="K16" s="340"/>
      <c r="L16" s="340"/>
      <c r="M16" s="340"/>
      <c r="N16" s="340"/>
      <c r="O16" s="345"/>
    </row>
    <row r="17" spans="1:15" x14ac:dyDescent="0.25">
      <c r="A17" s="369"/>
      <c r="B17" s="370"/>
      <c r="C17" s="370"/>
      <c r="D17" s="370"/>
      <c r="E17" s="370"/>
      <c r="F17" s="370"/>
      <c r="G17" s="370"/>
      <c r="H17" s="378" t="s">
        <v>18</v>
      </c>
      <c r="I17" s="372">
        <f>SUM(I15:I16)</f>
        <v>0.95000000000000007</v>
      </c>
      <c r="J17" s="370"/>
      <c r="K17" s="370"/>
      <c r="L17" s="370"/>
      <c r="M17" s="370"/>
      <c r="N17" s="370"/>
      <c r="O17" s="345"/>
    </row>
    <row r="18" spans="1:15" ht="15.75" thickBot="1" x14ac:dyDescent="0.3">
      <c r="A18" s="379"/>
      <c r="B18" s="380"/>
      <c r="C18" s="380"/>
      <c r="D18" s="380"/>
      <c r="E18" s="380"/>
      <c r="F18" s="380"/>
      <c r="G18" s="380"/>
      <c r="H18" s="380"/>
      <c r="I18" s="380"/>
      <c r="J18" s="380"/>
      <c r="K18" s="380"/>
      <c r="L18" s="380"/>
      <c r="M18" s="380"/>
      <c r="N18" s="380"/>
      <c r="O18" s="381"/>
    </row>
  </sheetData>
  <hyperlinks>
    <hyperlink ref="B4" location="'SU A0100'!A1" display="'SU A0100'!A1" xr:uid="{00000000-0004-0000-0800-000000000000}"/>
    <hyperlink ref="E3" location="dSU_01005" display="Drawing" xr:uid="{00000000-0004-0000-0800-000001000000}"/>
    <hyperlink ref="G2" location="SU_A0100_BOM" display="Back to BOM" xr:uid="{00000000-0004-0000-08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7" fitToHeight="99" orientation="landscape" r:id="rId1"/>
  <headerFooter>
    <oddFooter>Page &amp;P</oddFooter>
  </headerFooter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900-000000000000}">
  <sheetPr>
    <tabColor rgb="FFFFFF00"/>
    <pageSetUpPr fitToPage="1"/>
  </sheetPr>
  <dimension ref="A1:O280"/>
  <sheetViews>
    <sheetView zoomScale="80" zoomScaleNormal="80" zoomScalePageLayoutView="70" workbookViewId="0">
      <selection activeCell="E2" sqref="E2"/>
    </sheetView>
  </sheetViews>
  <sheetFormatPr baseColWidth="10" defaultRowHeight="15" x14ac:dyDescent="0.25"/>
  <cols>
    <col min="2" max="2" width="31.85546875" customWidth="1"/>
    <col min="3" max="3" width="28.7109375" customWidth="1"/>
    <col min="7" max="7" width="25.140625" customWidth="1"/>
    <col min="9" max="9" width="27.28515625" customWidth="1"/>
    <col min="10" max="10" width="13.5703125" customWidth="1"/>
  </cols>
  <sheetData>
    <row r="1" spans="1:15" x14ac:dyDescent="0.25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25">
      <c r="A2" s="730" t="s">
        <v>0</v>
      </c>
      <c r="B2" s="16" t="s">
        <v>37</v>
      </c>
      <c r="C2" s="731"/>
      <c r="D2" s="731"/>
      <c r="E2" s="731"/>
      <c r="F2" s="87" t="s">
        <v>62</v>
      </c>
      <c r="G2" s="731"/>
      <c r="H2" s="731"/>
      <c r="I2" s="731"/>
      <c r="J2" s="732" t="s">
        <v>1</v>
      </c>
      <c r="K2" s="733">
        <v>81</v>
      </c>
      <c r="L2" s="731"/>
      <c r="M2" s="730" t="s">
        <v>16</v>
      </c>
      <c r="N2" s="734">
        <f>SU_06001_m+SU_06001_p</f>
        <v>1.3710986506763019</v>
      </c>
      <c r="O2" s="264"/>
    </row>
    <row r="3" spans="1:15" x14ac:dyDescent="0.25">
      <c r="A3" s="730" t="s">
        <v>3</v>
      </c>
      <c r="B3" s="16" t="str">
        <f>'SU A0600'!B3</f>
        <v>Suspension &amp; Shocks</v>
      </c>
      <c r="C3" s="731"/>
      <c r="D3" s="730" t="s">
        <v>6</v>
      </c>
      <c r="E3" s="731"/>
      <c r="F3" s="731"/>
      <c r="G3" s="731"/>
      <c r="H3" s="731"/>
      <c r="I3" s="731"/>
      <c r="J3" s="731"/>
      <c r="K3" s="731"/>
      <c r="L3" s="731"/>
      <c r="M3" s="730" t="s">
        <v>4</v>
      </c>
      <c r="N3" s="735">
        <v>2</v>
      </c>
      <c r="O3" s="264"/>
    </row>
    <row r="4" spans="1:15" x14ac:dyDescent="0.25">
      <c r="A4" s="730" t="s">
        <v>5</v>
      </c>
      <c r="B4" s="87" t="str">
        <f>'SU A0600'!B4</f>
        <v>Front Bell Crank</v>
      </c>
      <c r="C4" s="731"/>
      <c r="D4" s="730" t="s">
        <v>8</v>
      </c>
      <c r="E4" s="731"/>
      <c r="F4" s="731"/>
      <c r="G4" s="731"/>
      <c r="H4" s="731"/>
      <c r="I4" s="731"/>
      <c r="J4" s="730" t="s">
        <v>6</v>
      </c>
      <c r="K4" s="731"/>
      <c r="L4" s="731"/>
      <c r="M4" s="731"/>
      <c r="N4" s="731"/>
      <c r="O4" s="264"/>
    </row>
    <row r="5" spans="1:15" x14ac:dyDescent="0.25">
      <c r="A5" s="730" t="s">
        <v>15</v>
      </c>
      <c r="B5" s="736" t="s">
        <v>311</v>
      </c>
      <c r="C5" s="731"/>
      <c r="D5" s="730" t="s">
        <v>12</v>
      </c>
      <c r="E5" s="731"/>
      <c r="F5" s="731"/>
      <c r="G5" s="731"/>
      <c r="H5" s="731"/>
      <c r="I5" s="731"/>
      <c r="J5" s="730" t="s">
        <v>8</v>
      </c>
      <c r="K5" s="731"/>
      <c r="L5" s="731"/>
      <c r="M5" s="730" t="s">
        <v>9</v>
      </c>
      <c r="N5" s="734">
        <f>N2*SU_06001_q</f>
        <v>2.7421973013526038</v>
      </c>
      <c r="O5" s="264"/>
    </row>
    <row r="6" spans="1:15" x14ac:dyDescent="0.25">
      <c r="A6" s="730" t="s">
        <v>7</v>
      </c>
      <c r="B6" s="731" t="s">
        <v>330</v>
      </c>
      <c r="C6" s="731"/>
      <c r="D6" s="731"/>
      <c r="E6" s="731"/>
      <c r="F6" s="731"/>
      <c r="G6" s="731"/>
      <c r="H6" s="731"/>
      <c r="I6" s="731"/>
      <c r="J6" s="730" t="s">
        <v>12</v>
      </c>
      <c r="K6" s="731"/>
      <c r="L6" s="731"/>
      <c r="M6" s="731"/>
      <c r="N6" s="731"/>
      <c r="O6" s="264"/>
    </row>
    <row r="7" spans="1:15" x14ac:dyDescent="0.25">
      <c r="A7" s="730" t="s">
        <v>10</v>
      </c>
      <c r="B7" s="16" t="s">
        <v>11</v>
      </c>
      <c r="C7" s="731"/>
      <c r="D7" s="731"/>
      <c r="E7" s="731"/>
      <c r="F7" s="731"/>
      <c r="G7" s="731"/>
      <c r="H7" s="731"/>
      <c r="I7" s="731"/>
      <c r="J7" s="731"/>
      <c r="K7" s="731"/>
      <c r="L7" s="731"/>
      <c r="M7" s="731"/>
      <c r="N7" s="731"/>
      <c r="O7" s="264"/>
    </row>
    <row r="8" spans="1:15" x14ac:dyDescent="0.25">
      <c r="A8" s="730" t="s">
        <v>13</v>
      </c>
      <c r="B8" s="16"/>
      <c r="C8" s="731"/>
      <c r="D8" s="731"/>
      <c r="E8" s="731"/>
      <c r="F8" s="731"/>
      <c r="G8" s="731"/>
      <c r="H8" s="731"/>
      <c r="I8" s="731"/>
      <c r="J8" s="731"/>
      <c r="K8" s="731"/>
      <c r="L8" s="731"/>
      <c r="M8" s="731"/>
      <c r="N8" s="731"/>
      <c r="O8" s="264"/>
    </row>
    <row r="9" spans="1:15" x14ac:dyDescent="0.25">
      <c r="A9" s="737"/>
      <c r="B9" s="731"/>
      <c r="C9" s="731"/>
      <c r="D9" s="731"/>
      <c r="E9" s="731"/>
      <c r="F9" s="731"/>
      <c r="G9" s="731"/>
      <c r="H9" s="731"/>
      <c r="I9" s="731"/>
      <c r="J9" s="731"/>
      <c r="K9" s="731"/>
      <c r="L9" s="731"/>
      <c r="M9" s="731"/>
      <c r="N9" s="731"/>
      <c r="O9" s="264"/>
    </row>
    <row r="10" spans="1:15" x14ac:dyDescent="0.25">
      <c r="A10" s="738" t="s">
        <v>14</v>
      </c>
      <c r="B10" s="739" t="s">
        <v>19</v>
      </c>
      <c r="C10" s="739" t="s">
        <v>20</v>
      </c>
      <c r="D10" s="739" t="s">
        <v>21</v>
      </c>
      <c r="E10" s="739" t="s">
        <v>22</v>
      </c>
      <c r="F10" s="739" t="s">
        <v>23</v>
      </c>
      <c r="G10" s="739" t="s">
        <v>24</v>
      </c>
      <c r="H10" s="739" t="s">
        <v>25</v>
      </c>
      <c r="I10" s="739" t="s">
        <v>26</v>
      </c>
      <c r="J10" s="739" t="s">
        <v>27</v>
      </c>
      <c r="K10" s="739" t="s">
        <v>28</v>
      </c>
      <c r="L10" s="739" t="s">
        <v>29</v>
      </c>
      <c r="M10" s="739" t="s">
        <v>17</v>
      </c>
      <c r="N10" s="739" t="s">
        <v>18</v>
      </c>
      <c r="O10" s="264"/>
    </row>
    <row r="11" spans="1:15" x14ac:dyDescent="0.25">
      <c r="A11" s="740">
        <v>10</v>
      </c>
      <c r="B11" s="741" t="s">
        <v>331</v>
      </c>
      <c r="C11" s="742" t="s">
        <v>332</v>
      </c>
      <c r="D11" s="743">
        <v>3.3</v>
      </c>
      <c r="E11" s="744">
        <f>J11*K11*L11</f>
        <v>1.3969288083727863E-2</v>
      </c>
      <c r="F11" s="742" t="s">
        <v>141</v>
      </c>
      <c r="G11" s="742"/>
      <c r="H11" s="745"/>
      <c r="I11" s="746" t="s">
        <v>333</v>
      </c>
      <c r="J11" s="746">
        <f>PI()*(7.5*10^-3)^2</f>
        <v>1.7671458676442585E-4</v>
      </c>
      <c r="K11" s="747">
        <v>9.2999999999999992E-3</v>
      </c>
      <c r="L11" s="748">
        <v>8500</v>
      </c>
      <c r="M11" s="748">
        <v>1</v>
      </c>
      <c r="N11" s="743">
        <f>D11*E11</f>
        <v>4.6098650676301943E-2</v>
      </c>
      <c r="O11" s="264"/>
    </row>
    <row r="12" spans="1:15" x14ac:dyDescent="0.25">
      <c r="A12" s="749"/>
      <c r="B12" s="750"/>
      <c r="C12" s="750"/>
      <c r="D12" s="750"/>
      <c r="E12" s="750"/>
      <c r="F12" s="750"/>
      <c r="G12" s="750"/>
      <c r="H12" s="750"/>
      <c r="I12" s="750"/>
      <c r="J12" s="750"/>
      <c r="K12" s="750"/>
      <c r="L12" s="750"/>
      <c r="M12" s="751" t="s">
        <v>18</v>
      </c>
      <c r="N12" s="752">
        <f>N11</f>
        <v>4.6098650676301943E-2</v>
      </c>
      <c r="O12" s="264"/>
    </row>
    <row r="13" spans="1:15" x14ac:dyDescent="0.25">
      <c r="A13" s="737"/>
      <c r="B13" s="731"/>
      <c r="C13" s="731"/>
      <c r="D13" s="731"/>
      <c r="E13" s="731"/>
      <c r="F13" s="731"/>
      <c r="G13" s="731"/>
      <c r="H13" s="731"/>
      <c r="I13" s="731"/>
      <c r="J13" s="731"/>
      <c r="K13" s="731"/>
      <c r="L13" s="731"/>
      <c r="M13" s="731"/>
      <c r="N13" s="731"/>
      <c r="O13" s="264"/>
    </row>
    <row r="14" spans="1:15" x14ac:dyDescent="0.25">
      <c r="A14" s="738" t="s">
        <v>14</v>
      </c>
      <c r="B14" s="739" t="s">
        <v>31</v>
      </c>
      <c r="C14" s="739" t="s">
        <v>20</v>
      </c>
      <c r="D14" s="739" t="s">
        <v>21</v>
      </c>
      <c r="E14" s="739" t="s">
        <v>32</v>
      </c>
      <c r="F14" s="739" t="s">
        <v>17</v>
      </c>
      <c r="G14" s="739" t="s">
        <v>33</v>
      </c>
      <c r="H14" s="739" t="s">
        <v>34</v>
      </c>
      <c r="I14" s="739" t="s">
        <v>18</v>
      </c>
      <c r="J14" s="750"/>
      <c r="K14" s="750"/>
      <c r="L14" s="750"/>
      <c r="M14" s="750"/>
      <c r="N14" s="750"/>
      <c r="O14" s="264"/>
    </row>
    <row r="15" spans="1:15" x14ac:dyDescent="0.25">
      <c r="A15" s="740">
        <v>10</v>
      </c>
      <c r="B15" s="742" t="s">
        <v>39</v>
      </c>
      <c r="C15" s="742"/>
      <c r="D15" s="743">
        <v>1.3</v>
      </c>
      <c r="E15" s="742" t="s">
        <v>35</v>
      </c>
      <c r="F15" s="742">
        <v>1</v>
      </c>
      <c r="G15" s="742"/>
      <c r="H15" s="742"/>
      <c r="I15" s="743">
        <v>1.3</v>
      </c>
      <c r="J15" s="731"/>
      <c r="K15" s="731"/>
      <c r="L15" s="731"/>
      <c r="M15" s="731"/>
      <c r="N15" s="731"/>
      <c r="O15" s="264"/>
    </row>
    <row r="16" spans="1:15" x14ac:dyDescent="0.25">
      <c r="A16" s="740">
        <v>20</v>
      </c>
      <c r="B16" s="742" t="s">
        <v>334</v>
      </c>
      <c r="C16" s="742" t="s">
        <v>335</v>
      </c>
      <c r="D16" s="743">
        <v>0.04</v>
      </c>
      <c r="E16" s="742" t="s">
        <v>93</v>
      </c>
      <c r="F16" s="742">
        <v>1.25</v>
      </c>
      <c r="G16" s="742" t="s">
        <v>336</v>
      </c>
      <c r="H16" s="742">
        <v>0.5</v>
      </c>
      <c r="I16" s="743">
        <f>D16*F16*H16</f>
        <v>2.5000000000000001E-2</v>
      </c>
      <c r="J16" s="731"/>
      <c r="K16" s="731"/>
      <c r="L16" s="731"/>
      <c r="M16" s="731"/>
      <c r="N16" s="731"/>
      <c r="O16" s="264"/>
    </row>
    <row r="17" spans="1:15" x14ac:dyDescent="0.25">
      <c r="A17" s="749"/>
      <c r="B17" s="750"/>
      <c r="C17" s="750"/>
      <c r="D17" s="750"/>
      <c r="E17" s="750"/>
      <c r="F17" s="750"/>
      <c r="G17" s="750"/>
      <c r="H17" s="751" t="s">
        <v>18</v>
      </c>
      <c r="I17" s="753">
        <f>I15+I16</f>
        <v>1.325</v>
      </c>
      <c r="J17" s="750"/>
      <c r="K17" s="750"/>
      <c r="L17" s="750"/>
      <c r="M17" s="750"/>
      <c r="N17" s="750"/>
      <c r="O17" s="264"/>
    </row>
    <row r="18" spans="1:15" x14ac:dyDescent="0.25">
      <c r="A18" s="737"/>
      <c r="B18" s="731"/>
      <c r="C18" s="731"/>
      <c r="D18" s="731"/>
      <c r="E18" s="731"/>
      <c r="F18" s="731"/>
      <c r="G18" s="731"/>
      <c r="H18" s="733"/>
      <c r="I18" s="734"/>
      <c r="J18" s="731"/>
      <c r="K18" s="731"/>
      <c r="L18" s="731"/>
      <c r="M18" s="731"/>
      <c r="N18" s="731"/>
      <c r="O18" s="264"/>
    </row>
    <row r="19" spans="1:15" x14ac:dyDescent="0.25">
      <c r="A19" s="737"/>
      <c r="B19" s="731"/>
      <c r="C19" s="731"/>
      <c r="D19" s="731"/>
      <c r="E19" s="731"/>
      <c r="F19" s="731"/>
      <c r="G19" s="731"/>
      <c r="H19" s="731"/>
      <c r="I19" s="731"/>
      <c r="J19" s="731"/>
      <c r="K19" s="731"/>
      <c r="L19" s="731"/>
      <c r="M19" s="731"/>
      <c r="N19" s="731"/>
      <c r="O19" s="264"/>
    </row>
    <row r="20" spans="1:15" x14ac:dyDescent="0.25">
      <c r="A20" s="737"/>
      <c r="B20" s="731"/>
      <c r="C20" s="731"/>
      <c r="D20" s="731"/>
      <c r="E20" s="731"/>
      <c r="F20" s="731"/>
      <c r="G20" s="731"/>
      <c r="H20" s="731"/>
      <c r="I20" s="731"/>
      <c r="J20" s="731"/>
      <c r="K20" s="731"/>
      <c r="L20" s="731"/>
      <c r="M20" s="731"/>
      <c r="N20" s="731"/>
      <c r="O20" s="264"/>
    </row>
    <row r="21" spans="1:15" x14ac:dyDescent="0.25">
      <c r="A21" s="737"/>
      <c r="B21" s="731"/>
      <c r="C21" s="731"/>
      <c r="D21" s="731"/>
      <c r="E21" s="731"/>
      <c r="F21" s="731"/>
      <c r="G21" s="731"/>
      <c r="H21" s="731"/>
      <c r="I21" s="731"/>
      <c r="J21" s="731"/>
      <c r="K21" s="731"/>
      <c r="L21" s="731"/>
      <c r="M21" s="731"/>
      <c r="N21" s="731"/>
      <c r="O21" s="264"/>
    </row>
    <row r="22" spans="1:15" ht="15.75" thickBot="1" x14ac:dyDescent="0.3">
      <c r="A22" s="754"/>
      <c r="B22" s="755"/>
      <c r="C22" s="755"/>
      <c r="D22" s="755"/>
      <c r="E22" s="755"/>
      <c r="F22" s="755"/>
      <c r="G22" s="755"/>
      <c r="H22" s="755"/>
      <c r="I22" s="755"/>
      <c r="J22" s="755"/>
      <c r="K22" s="755"/>
      <c r="L22" s="755"/>
      <c r="M22" s="755"/>
      <c r="N22" s="755"/>
      <c r="O22" s="286"/>
    </row>
    <row r="23" spans="1:15" x14ac:dyDescent="0.25">
      <c r="A23" s="16"/>
      <c r="B23" s="756"/>
      <c r="C23" s="756"/>
      <c r="D23" s="756"/>
      <c r="E23" s="756"/>
      <c r="F23" s="756"/>
      <c r="G23" s="756"/>
      <c r="H23" s="756"/>
      <c r="I23" s="756"/>
      <c r="J23" s="756"/>
      <c r="K23" s="756"/>
      <c r="L23" s="756"/>
      <c r="M23" s="756"/>
      <c r="N23" s="756"/>
    </row>
    <row r="24" spans="1:15" x14ac:dyDescent="0.25">
      <c r="A24" s="16"/>
      <c r="B24" s="756"/>
      <c r="C24" s="756"/>
      <c r="D24" s="756"/>
      <c r="E24" s="756"/>
      <c r="F24" s="756"/>
      <c r="G24" s="756"/>
      <c r="H24" s="756"/>
      <c r="I24" s="756"/>
      <c r="J24" s="756"/>
      <c r="K24" s="756"/>
      <c r="L24" s="756"/>
      <c r="M24" s="756"/>
      <c r="N24" s="756"/>
    </row>
    <row r="25" spans="1:15" x14ac:dyDescent="0.25">
      <c r="A25" s="87"/>
      <c r="B25" s="756"/>
      <c r="C25" s="756"/>
      <c r="D25" s="756"/>
      <c r="E25" s="756"/>
      <c r="F25" s="756"/>
      <c r="G25" s="756"/>
      <c r="H25" s="756"/>
      <c r="I25" s="756"/>
      <c r="J25" s="756"/>
      <c r="K25" s="756"/>
      <c r="L25" s="756"/>
      <c r="M25" s="756"/>
      <c r="N25" s="756"/>
    </row>
    <row r="26" spans="1:15" x14ac:dyDescent="0.25">
      <c r="A26" s="18"/>
      <c r="B26" s="756"/>
      <c r="C26" s="756"/>
      <c r="D26" s="756"/>
      <c r="E26" s="756"/>
      <c r="F26" s="756"/>
      <c r="G26" s="756"/>
      <c r="H26" s="756"/>
      <c r="I26" s="756"/>
      <c r="J26" s="756"/>
      <c r="K26" s="756"/>
      <c r="L26" s="756"/>
      <c r="M26" s="756"/>
      <c r="N26" s="756"/>
    </row>
    <row r="27" spans="1:15" x14ac:dyDescent="0.25">
      <c r="A27" s="28"/>
      <c r="B27" s="756"/>
      <c r="C27" s="756"/>
      <c r="D27" s="756"/>
      <c r="E27" s="756"/>
      <c r="F27" s="756"/>
      <c r="G27" s="756"/>
      <c r="H27" s="756"/>
      <c r="I27" s="756"/>
      <c r="J27" s="756"/>
      <c r="K27" s="756"/>
      <c r="L27" s="756"/>
      <c r="M27" s="756"/>
      <c r="N27" s="756"/>
    </row>
    <row r="28" spans="1:15" x14ac:dyDescent="0.25">
      <c r="A28" s="16"/>
      <c r="B28" s="756"/>
      <c r="C28" s="756"/>
      <c r="D28" s="756"/>
      <c r="E28" s="756"/>
      <c r="F28" s="756"/>
      <c r="G28" s="756"/>
      <c r="H28" s="756"/>
      <c r="I28" s="756"/>
      <c r="J28" s="756"/>
      <c r="K28" s="756"/>
      <c r="L28" s="756"/>
      <c r="M28" s="756"/>
      <c r="N28" s="756"/>
    </row>
    <row r="29" spans="1:15" x14ac:dyDescent="0.25">
      <c r="A29" s="16"/>
      <c r="B29" s="756"/>
      <c r="C29" s="756"/>
      <c r="D29" s="756"/>
      <c r="E29" s="756"/>
      <c r="F29" s="756"/>
      <c r="G29" s="756"/>
      <c r="H29" s="756"/>
      <c r="I29" s="756"/>
      <c r="J29" s="756"/>
      <c r="K29" s="756"/>
      <c r="L29" s="756"/>
      <c r="M29" s="756"/>
      <c r="N29" s="756"/>
    </row>
    <row r="30" spans="1:15" x14ac:dyDescent="0.25">
      <c r="A30" s="756"/>
      <c r="B30" s="756"/>
      <c r="C30" s="756"/>
      <c r="D30" s="756"/>
      <c r="E30" s="756"/>
      <c r="F30" s="756"/>
      <c r="G30" s="756"/>
      <c r="H30" s="756"/>
      <c r="I30" s="756"/>
      <c r="J30" s="756"/>
      <c r="K30" s="756"/>
      <c r="L30" s="756"/>
      <c r="M30" s="756"/>
      <c r="N30" s="756"/>
    </row>
    <row r="31" spans="1:15" x14ac:dyDescent="0.25">
      <c r="A31" s="756"/>
      <c r="B31" s="756"/>
      <c r="C31" s="756"/>
      <c r="D31" s="756"/>
      <c r="E31" s="756"/>
      <c r="F31" s="756"/>
      <c r="G31" s="756"/>
      <c r="H31" s="756"/>
      <c r="I31" s="756"/>
      <c r="J31" s="756"/>
      <c r="K31" s="756"/>
      <c r="L31" s="756"/>
      <c r="M31" s="756"/>
      <c r="N31" s="756"/>
    </row>
    <row r="32" spans="1:15" x14ac:dyDescent="0.25">
      <c r="A32" s="756"/>
      <c r="B32" s="756"/>
      <c r="C32" s="756"/>
      <c r="D32" s="756"/>
      <c r="E32" s="756"/>
      <c r="F32" s="756"/>
      <c r="G32" s="756"/>
      <c r="H32" s="756"/>
      <c r="I32" s="756"/>
      <c r="J32" s="756"/>
      <c r="K32" s="756"/>
      <c r="L32" s="756"/>
      <c r="M32" s="756"/>
      <c r="N32" s="756"/>
    </row>
    <row r="33" spans="1:14" x14ac:dyDescent="0.25">
      <c r="A33" s="756"/>
      <c r="B33" s="756"/>
      <c r="C33" s="756"/>
      <c r="D33" s="756"/>
      <c r="E33" s="756"/>
      <c r="F33" s="756"/>
      <c r="G33" s="756"/>
      <c r="H33" s="756"/>
      <c r="I33" s="756"/>
      <c r="J33" s="756"/>
      <c r="K33" s="756"/>
      <c r="L33" s="756"/>
      <c r="M33" s="756"/>
      <c r="N33" s="756"/>
    </row>
    <row r="34" spans="1:14" x14ac:dyDescent="0.25">
      <c r="A34" s="756"/>
      <c r="B34" s="756"/>
      <c r="C34" s="756"/>
      <c r="D34" s="756"/>
      <c r="E34" s="756"/>
      <c r="F34" s="756"/>
      <c r="G34" s="756"/>
      <c r="H34" s="756"/>
      <c r="I34" s="756"/>
      <c r="J34" s="756"/>
      <c r="K34" s="756"/>
      <c r="L34" s="756"/>
      <c r="M34" s="756"/>
      <c r="N34" s="756"/>
    </row>
    <row r="35" spans="1:14" x14ac:dyDescent="0.25">
      <c r="A35" s="756"/>
      <c r="B35" s="756"/>
      <c r="C35" s="756"/>
      <c r="D35" s="756"/>
      <c r="E35" s="756"/>
      <c r="F35" s="756"/>
      <c r="G35" s="756"/>
      <c r="H35" s="756"/>
      <c r="I35" s="756"/>
      <c r="J35" s="756"/>
      <c r="K35" s="756"/>
      <c r="L35" s="756"/>
      <c r="M35" s="756"/>
      <c r="N35" s="756"/>
    </row>
    <row r="36" spans="1:14" x14ac:dyDescent="0.25">
      <c r="A36" s="756"/>
      <c r="B36" s="756"/>
      <c r="C36" s="756"/>
      <c r="D36" s="756"/>
      <c r="E36" s="756"/>
      <c r="F36" s="756"/>
      <c r="G36" s="756"/>
      <c r="H36" s="756"/>
      <c r="I36" s="756"/>
      <c r="J36" s="756"/>
      <c r="K36" s="756"/>
      <c r="L36" s="756"/>
      <c r="M36" s="756"/>
      <c r="N36" s="756"/>
    </row>
    <row r="37" spans="1:14" x14ac:dyDescent="0.25">
      <c r="A37" s="756"/>
      <c r="B37" s="756"/>
      <c r="C37" s="756"/>
      <c r="D37" s="756"/>
      <c r="E37" s="756"/>
      <c r="F37" s="756"/>
      <c r="G37" s="756"/>
      <c r="H37" s="756"/>
      <c r="I37" s="756"/>
      <c r="J37" s="756"/>
      <c r="K37" s="756"/>
      <c r="L37" s="756"/>
      <c r="M37" s="756"/>
      <c r="N37" s="756"/>
    </row>
    <row r="38" spans="1:14" x14ac:dyDescent="0.25">
      <c r="A38" s="756"/>
      <c r="B38" s="756"/>
      <c r="C38" s="756"/>
      <c r="D38" s="756"/>
      <c r="E38" s="756"/>
      <c r="F38" s="756"/>
      <c r="G38" s="756"/>
      <c r="H38" s="756"/>
      <c r="I38" s="756"/>
      <c r="J38" s="756"/>
      <c r="K38" s="756"/>
      <c r="L38" s="756"/>
      <c r="M38" s="756"/>
      <c r="N38" s="756"/>
    </row>
    <row r="39" spans="1:14" x14ac:dyDescent="0.25">
      <c r="A39" s="756"/>
      <c r="B39" s="756"/>
      <c r="C39" s="756"/>
      <c r="D39" s="756"/>
      <c r="E39" s="756"/>
      <c r="F39" s="756"/>
      <c r="G39" s="756"/>
      <c r="H39" s="756"/>
      <c r="I39" s="756"/>
      <c r="J39" s="756"/>
      <c r="K39" s="756"/>
      <c r="L39" s="756"/>
      <c r="M39" s="756"/>
      <c r="N39" s="756"/>
    </row>
    <row r="40" spans="1:14" x14ac:dyDescent="0.25">
      <c r="A40" s="756"/>
      <c r="B40" s="756"/>
      <c r="C40" s="756"/>
      <c r="D40" s="756"/>
      <c r="E40" s="756"/>
      <c r="F40" s="756"/>
      <c r="G40" s="756"/>
      <c r="H40" s="756"/>
      <c r="I40" s="756"/>
      <c r="J40" s="756"/>
      <c r="K40" s="756"/>
      <c r="L40" s="756"/>
      <c r="M40" s="756"/>
      <c r="N40" s="756"/>
    </row>
    <row r="41" spans="1:14" x14ac:dyDescent="0.25">
      <c r="A41" s="756"/>
      <c r="B41" s="756"/>
      <c r="C41" s="756"/>
      <c r="D41" s="756"/>
      <c r="E41" s="756"/>
      <c r="F41" s="756"/>
      <c r="G41" s="756"/>
      <c r="H41" s="756"/>
      <c r="I41" s="756"/>
      <c r="J41" s="756"/>
      <c r="K41" s="756"/>
      <c r="L41" s="756"/>
      <c r="M41" s="756"/>
      <c r="N41" s="756"/>
    </row>
    <row r="42" spans="1:14" x14ac:dyDescent="0.25">
      <c r="A42" s="756"/>
      <c r="B42" s="756"/>
      <c r="C42" s="756"/>
      <c r="D42" s="756"/>
      <c r="E42" s="756"/>
      <c r="F42" s="756"/>
      <c r="G42" s="756"/>
      <c r="H42" s="756"/>
      <c r="I42" s="756"/>
      <c r="J42" s="756"/>
      <c r="K42" s="756"/>
      <c r="L42" s="756"/>
      <c r="M42" s="756"/>
      <c r="N42" s="756"/>
    </row>
    <row r="43" spans="1:14" x14ac:dyDescent="0.25">
      <c r="A43" s="756"/>
      <c r="B43" s="756"/>
      <c r="C43" s="756"/>
      <c r="D43" s="756"/>
      <c r="E43" s="756"/>
      <c r="F43" s="756"/>
      <c r="G43" s="756"/>
      <c r="H43" s="756"/>
      <c r="I43" s="756"/>
      <c r="J43" s="756"/>
      <c r="K43" s="756"/>
      <c r="L43" s="756"/>
      <c r="M43" s="756"/>
      <c r="N43" s="756"/>
    </row>
    <row r="44" spans="1:14" x14ac:dyDescent="0.25">
      <c r="A44" s="756"/>
      <c r="B44" s="756"/>
      <c r="C44" s="756"/>
      <c r="D44" s="756"/>
      <c r="E44" s="756"/>
      <c r="F44" s="756"/>
      <c r="G44" s="756"/>
      <c r="H44" s="756"/>
      <c r="I44" s="756"/>
      <c r="J44" s="756"/>
      <c r="K44" s="756"/>
      <c r="L44" s="756"/>
      <c r="M44" s="756"/>
      <c r="N44" s="756"/>
    </row>
    <row r="45" spans="1:14" x14ac:dyDescent="0.25">
      <c r="A45" s="756"/>
      <c r="B45" s="756"/>
      <c r="C45" s="756"/>
      <c r="D45" s="756"/>
      <c r="E45" s="756"/>
      <c r="F45" s="756"/>
      <c r="G45" s="756"/>
      <c r="H45" s="756"/>
      <c r="I45" s="756"/>
      <c r="J45" s="756"/>
      <c r="K45" s="756"/>
      <c r="L45" s="756"/>
      <c r="M45" s="756"/>
      <c r="N45" s="756"/>
    </row>
    <row r="46" spans="1:14" x14ac:dyDescent="0.25">
      <c r="A46" s="756"/>
      <c r="B46" s="756"/>
      <c r="C46" s="756"/>
      <c r="D46" s="756"/>
      <c r="E46" s="756"/>
      <c r="F46" s="756"/>
      <c r="G46" s="756"/>
      <c r="H46" s="756"/>
      <c r="I46" s="756"/>
      <c r="J46" s="756"/>
      <c r="K46" s="756"/>
      <c r="L46" s="756"/>
      <c r="M46" s="756"/>
      <c r="N46" s="756"/>
    </row>
    <row r="47" spans="1:14" x14ac:dyDescent="0.25">
      <c r="A47" s="756"/>
      <c r="B47" s="756"/>
      <c r="C47" s="756"/>
      <c r="D47" s="756"/>
      <c r="E47" s="756"/>
      <c r="F47" s="756"/>
      <c r="G47" s="756"/>
      <c r="H47" s="756"/>
      <c r="I47" s="756"/>
      <c r="J47" s="756"/>
      <c r="K47" s="756"/>
      <c r="L47" s="756"/>
      <c r="M47" s="756"/>
      <c r="N47" s="756"/>
    </row>
    <row r="48" spans="1:14" x14ac:dyDescent="0.25">
      <c r="A48" s="756"/>
      <c r="B48" s="756"/>
      <c r="C48" s="756"/>
      <c r="D48" s="756"/>
      <c r="E48" s="756"/>
      <c r="F48" s="756"/>
      <c r="G48" s="756"/>
      <c r="H48" s="756"/>
      <c r="I48" s="756"/>
      <c r="J48" s="756"/>
      <c r="K48" s="756"/>
      <c r="L48" s="756"/>
      <c r="M48" s="756"/>
      <c r="N48" s="756"/>
    </row>
    <row r="49" spans="1:14" x14ac:dyDescent="0.25">
      <c r="A49" s="756"/>
      <c r="B49" s="756"/>
      <c r="C49" s="756"/>
      <c r="D49" s="756"/>
      <c r="E49" s="756"/>
      <c r="F49" s="756"/>
      <c r="G49" s="756"/>
      <c r="H49" s="756"/>
      <c r="I49" s="756"/>
      <c r="J49" s="756"/>
      <c r="K49" s="756"/>
      <c r="L49" s="756"/>
      <c r="M49" s="756"/>
      <c r="N49" s="756"/>
    </row>
    <row r="50" spans="1:14" x14ac:dyDescent="0.25">
      <c r="A50" s="756"/>
      <c r="B50" s="756"/>
      <c r="C50" s="756"/>
      <c r="D50" s="756"/>
      <c r="E50" s="756"/>
      <c r="F50" s="756"/>
      <c r="G50" s="756"/>
      <c r="H50" s="756"/>
      <c r="I50" s="756"/>
      <c r="J50" s="756"/>
      <c r="K50" s="756"/>
      <c r="L50" s="756"/>
      <c r="M50" s="756"/>
      <c r="N50" s="756"/>
    </row>
    <row r="51" spans="1:14" x14ac:dyDescent="0.25">
      <c r="A51" s="756"/>
      <c r="B51" s="756"/>
      <c r="C51" s="756"/>
      <c r="D51" s="756"/>
      <c r="E51" s="756"/>
      <c r="F51" s="756"/>
      <c r="G51" s="756"/>
      <c r="H51" s="756"/>
      <c r="I51" s="756"/>
      <c r="J51" s="756"/>
      <c r="K51" s="756"/>
      <c r="L51" s="756"/>
      <c r="M51" s="756"/>
      <c r="N51" s="756"/>
    </row>
    <row r="52" spans="1:14" x14ac:dyDescent="0.25">
      <c r="A52" s="756"/>
      <c r="B52" s="756"/>
      <c r="C52" s="756"/>
      <c r="D52" s="756"/>
      <c r="E52" s="756"/>
      <c r="F52" s="756"/>
      <c r="G52" s="756"/>
      <c r="H52" s="756"/>
      <c r="I52" s="756"/>
      <c r="J52" s="756"/>
      <c r="K52" s="756"/>
      <c r="L52" s="756"/>
      <c r="M52" s="756"/>
      <c r="N52" s="756"/>
    </row>
    <row r="53" spans="1:14" x14ac:dyDescent="0.25">
      <c r="A53" s="756"/>
      <c r="B53" s="756"/>
      <c r="C53" s="756"/>
      <c r="D53" s="756"/>
      <c r="E53" s="756"/>
      <c r="F53" s="756"/>
      <c r="G53" s="756"/>
      <c r="H53" s="756"/>
      <c r="I53" s="756"/>
      <c r="J53" s="756"/>
      <c r="K53" s="756"/>
      <c r="L53" s="756"/>
      <c r="M53" s="756"/>
      <c r="N53" s="756"/>
    </row>
    <row r="54" spans="1:14" x14ac:dyDescent="0.25">
      <c r="A54" s="756"/>
      <c r="B54" s="756"/>
      <c r="C54" s="756"/>
      <c r="D54" s="756"/>
      <c r="E54" s="756"/>
      <c r="F54" s="756"/>
      <c r="G54" s="756"/>
      <c r="H54" s="756"/>
      <c r="I54" s="756"/>
      <c r="J54" s="756"/>
      <c r="K54" s="756"/>
      <c r="L54" s="756"/>
      <c r="M54" s="756"/>
      <c r="N54" s="756"/>
    </row>
    <row r="55" spans="1:14" x14ac:dyDescent="0.25">
      <c r="A55" s="756"/>
      <c r="B55" s="756"/>
      <c r="C55" s="756"/>
      <c r="D55" s="756"/>
      <c r="E55" s="756"/>
      <c r="F55" s="756"/>
      <c r="G55" s="756"/>
      <c r="H55" s="756"/>
      <c r="I55" s="756"/>
      <c r="J55" s="756"/>
      <c r="K55" s="756"/>
      <c r="L55" s="756"/>
      <c r="M55" s="756"/>
      <c r="N55" s="756"/>
    </row>
    <row r="56" spans="1:14" x14ac:dyDescent="0.25">
      <c r="A56" s="756"/>
      <c r="B56" s="756"/>
      <c r="C56" s="756"/>
      <c r="D56" s="756"/>
      <c r="E56" s="756"/>
      <c r="F56" s="756"/>
      <c r="G56" s="756"/>
      <c r="H56" s="756"/>
      <c r="I56" s="756"/>
      <c r="J56" s="756"/>
      <c r="K56" s="756"/>
      <c r="L56" s="756"/>
      <c r="M56" s="756"/>
      <c r="N56" s="756"/>
    </row>
    <row r="57" spans="1:14" x14ac:dyDescent="0.25">
      <c r="A57" s="756"/>
      <c r="B57" s="756"/>
      <c r="C57" s="756"/>
      <c r="D57" s="756"/>
      <c r="E57" s="756"/>
      <c r="F57" s="756"/>
      <c r="G57" s="756"/>
      <c r="H57" s="756"/>
      <c r="I57" s="756"/>
      <c r="J57" s="756"/>
      <c r="K57" s="756"/>
      <c r="L57" s="756"/>
      <c r="M57" s="756"/>
      <c r="N57" s="756"/>
    </row>
    <row r="58" spans="1:14" x14ac:dyDescent="0.25">
      <c r="A58" s="756"/>
      <c r="B58" s="756"/>
      <c r="C58" s="756"/>
      <c r="D58" s="756"/>
      <c r="E58" s="756"/>
      <c r="F58" s="756"/>
      <c r="G58" s="756"/>
      <c r="H58" s="756"/>
      <c r="I58" s="756"/>
      <c r="J58" s="756"/>
      <c r="K58" s="756"/>
      <c r="L58" s="756"/>
      <c r="M58" s="756"/>
      <c r="N58" s="756"/>
    </row>
    <row r="59" spans="1:14" x14ac:dyDescent="0.25">
      <c r="A59" s="756"/>
      <c r="B59" s="756"/>
      <c r="C59" s="756"/>
      <c r="D59" s="756"/>
      <c r="E59" s="756"/>
      <c r="F59" s="756"/>
      <c r="G59" s="756"/>
      <c r="H59" s="756"/>
      <c r="I59" s="756"/>
      <c r="J59" s="756"/>
      <c r="K59" s="756"/>
      <c r="L59" s="756"/>
      <c r="M59" s="756"/>
      <c r="N59" s="756"/>
    </row>
    <row r="60" spans="1:14" x14ac:dyDescent="0.25">
      <c r="A60" s="756"/>
      <c r="B60" s="756"/>
      <c r="C60" s="756"/>
      <c r="D60" s="756"/>
      <c r="E60" s="756"/>
      <c r="F60" s="756"/>
      <c r="G60" s="756"/>
      <c r="H60" s="756"/>
      <c r="I60" s="756"/>
      <c r="J60" s="756"/>
      <c r="K60" s="756"/>
      <c r="L60" s="756"/>
      <c r="M60" s="756"/>
      <c r="N60" s="756"/>
    </row>
    <row r="61" spans="1:14" x14ac:dyDescent="0.25">
      <c r="A61" s="756"/>
      <c r="B61" s="756"/>
      <c r="C61" s="756"/>
      <c r="D61" s="756"/>
      <c r="E61" s="756"/>
      <c r="F61" s="756"/>
      <c r="G61" s="756"/>
      <c r="H61" s="756"/>
      <c r="I61" s="756"/>
      <c r="J61" s="756"/>
      <c r="K61" s="756"/>
      <c r="L61" s="756"/>
      <c r="M61" s="756"/>
      <c r="N61" s="756"/>
    </row>
    <row r="62" spans="1:14" x14ac:dyDescent="0.25">
      <c r="A62" s="756"/>
      <c r="B62" s="756"/>
      <c r="C62" s="756"/>
      <c r="D62" s="756"/>
      <c r="E62" s="756"/>
      <c r="F62" s="756"/>
      <c r="G62" s="756"/>
      <c r="H62" s="756"/>
      <c r="I62" s="756"/>
      <c r="J62" s="756"/>
      <c r="K62" s="756"/>
      <c r="L62" s="756"/>
      <c r="M62" s="756"/>
      <c r="N62" s="756"/>
    </row>
    <row r="63" spans="1:14" x14ac:dyDescent="0.25">
      <c r="A63" s="756"/>
      <c r="B63" s="756"/>
      <c r="C63" s="756"/>
      <c r="D63" s="756"/>
      <c r="E63" s="756"/>
      <c r="F63" s="756"/>
      <c r="G63" s="756"/>
      <c r="H63" s="756"/>
      <c r="I63" s="756"/>
      <c r="J63" s="756"/>
      <c r="K63" s="756"/>
      <c r="L63" s="756"/>
      <c r="M63" s="756"/>
      <c r="N63" s="756"/>
    </row>
    <row r="64" spans="1:14" x14ac:dyDescent="0.25">
      <c r="A64" s="756"/>
      <c r="B64" s="756"/>
      <c r="C64" s="756"/>
      <c r="D64" s="756"/>
      <c r="E64" s="756"/>
      <c r="F64" s="756"/>
      <c r="G64" s="756"/>
      <c r="H64" s="756"/>
      <c r="I64" s="756"/>
      <c r="J64" s="756"/>
      <c r="K64" s="756"/>
      <c r="L64" s="756"/>
      <c r="M64" s="756"/>
      <c r="N64" s="756"/>
    </row>
    <row r="65" spans="1:14" x14ac:dyDescent="0.25">
      <c r="A65" s="756"/>
      <c r="B65" s="756"/>
      <c r="C65" s="756"/>
      <c r="D65" s="756"/>
      <c r="E65" s="756"/>
      <c r="F65" s="756"/>
      <c r="G65" s="756"/>
      <c r="H65" s="756"/>
      <c r="I65" s="756"/>
      <c r="J65" s="756"/>
      <c r="K65" s="756"/>
      <c r="L65" s="756"/>
      <c r="M65" s="756"/>
      <c r="N65" s="756"/>
    </row>
    <row r="66" spans="1:14" x14ac:dyDescent="0.25">
      <c r="A66" s="756"/>
      <c r="B66" s="756"/>
      <c r="C66" s="756"/>
      <c r="D66" s="756"/>
      <c r="E66" s="756"/>
      <c r="F66" s="756"/>
      <c r="G66" s="756"/>
      <c r="H66" s="756"/>
      <c r="I66" s="756"/>
      <c r="J66" s="756"/>
      <c r="K66" s="756"/>
      <c r="L66" s="756"/>
      <c r="M66" s="756"/>
      <c r="N66" s="756"/>
    </row>
    <row r="67" spans="1:14" x14ac:dyDescent="0.25">
      <c r="A67" s="756"/>
      <c r="B67" s="756"/>
      <c r="C67" s="756"/>
      <c r="D67" s="756"/>
      <c r="E67" s="756"/>
      <c r="F67" s="756"/>
      <c r="G67" s="756"/>
      <c r="H67" s="756"/>
      <c r="I67" s="756"/>
      <c r="J67" s="756"/>
      <c r="K67" s="756"/>
      <c r="L67" s="756"/>
      <c r="M67" s="756"/>
      <c r="N67" s="756"/>
    </row>
    <row r="68" spans="1:14" x14ac:dyDescent="0.25">
      <c r="A68" s="756"/>
      <c r="B68" s="756"/>
      <c r="C68" s="756"/>
      <c r="D68" s="756"/>
      <c r="E68" s="756"/>
      <c r="F68" s="756"/>
      <c r="G68" s="756"/>
      <c r="H68" s="756"/>
      <c r="I68" s="756"/>
      <c r="J68" s="756"/>
      <c r="K68" s="756"/>
      <c r="L68" s="756"/>
      <c r="M68" s="756"/>
      <c r="N68" s="756"/>
    </row>
    <row r="69" spans="1:14" x14ac:dyDescent="0.25">
      <c r="A69" s="756"/>
      <c r="B69" s="756"/>
      <c r="C69" s="756"/>
      <c r="D69" s="756"/>
      <c r="E69" s="756"/>
      <c r="F69" s="756"/>
      <c r="G69" s="756"/>
      <c r="H69" s="756"/>
      <c r="I69" s="756"/>
      <c r="J69" s="756"/>
      <c r="K69" s="756"/>
      <c r="L69" s="756"/>
      <c r="M69" s="756"/>
      <c r="N69" s="756"/>
    </row>
    <row r="70" spans="1:14" x14ac:dyDescent="0.25">
      <c r="A70" s="756"/>
      <c r="B70" s="756"/>
      <c r="C70" s="756"/>
      <c r="D70" s="756"/>
      <c r="E70" s="756"/>
      <c r="F70" s="756"/>
      <c r="G70" s="756"/>
      <c r="H70" s="756"/>
      <c r="I70" s="756"/>
      <c r="J70" s="756"/>
      <c r="K70" s="756"/>
      <c r="L70" s="756"/>
      <c r="M70" s="756"/>
      <c r="N70" s="756"/>
    </row>
    <row r="71" spans="1:14" x14ac:dyDescent="0.25">
      <c r="A71" s="756"/>
      <c r="B71" s="756"/>
      <c r="C71" s="756"/>
      <c r="D71" s="756"/>
      <c r="E71" s="756"/>
      <c r="F71" s="756"/>
      <c r="G71" s="756"/>
      <c r="H71" s="756"/>
      <c r="I71" s="756"/>
      <c r="J71" s="756"/>
      <c r="K71" s="756"/>
      <c r="L71" s="756"/>
      <c r="M71" s="756"/>
      <c r="N71" s="756"/>
    </row>
    <row r="72" spans="1:14" x14ac:dyDescent="0.25">
      <c r="A72" s="756"/>
      <c r="B72" s="756"/>
      <c r="C72" s="756"/>
      <c r="D72" s="756"/>
      <c r="E72" s="756"/>
      <c r="F72" s="756"/>
      <c r="G72" s="756"/>
      <c r="H72" s="756"/>
      <c r="I72" s="756"/>
      <c r="J72" s="756"/>
      <c r="K72" s="756"/>
      <c r="L72" s="756"/>
      <c r="M72" s="756"/>
      <c r="N72" s="756"/>
    </row>
    <row r="73" spans="1:14" x14ac:dyDescent="0.25">
      <c r="A73" s="756"/>
      <c r="B73" s="756"/>
      <c r="C73" s="756"/>
      <c r="D73" s="756"/>
      <c r="E73" s="756"/>
      <c r="F73" s="756"/>
      <c r="G73" s="756"/>
      <c r="H73" s="756"/>
      <c r="I73" s="756"/>
      <c r="J73" s="756"/>
      <c r="K73" s="756"/>
      <c r="L73" s="756"/>
      <c r="M73" s="756"/>
      <c r="N73" s="756"/>
    </row>
    <row r="74" spans="1:14" x14ac:dyDescent="0.25">
      <c r="A74" s="756"/>
      <c r="B74" s="756"/>
      <c r="C74" s="756"/>
      <c r="D74" s="756"/>
      <c r="E74" s="756"/>
      <c r="F74" s="756"/>
      <c r="G74" s="756"/>
      <c r="H74" s="756"/>
      <c r="I74" s="756"/>
      <c r="J74" s="756"/>
      <c r="K74" s="756"/>
      <c r="L74" s="756"/>
      <c r="M74" s="756"/>
      <c r="N74" s="756"/>
    </row>
    <row r="75" spans="1:14" x14ac:dyDescent="0.25">
      <c r="A75" s="756"/>
      <c r="B75" s="756"/>
      <c r="C75" s="756"/>
      <c r="D75" s="756"/>
      <c r="E75" s="756"/>
      <c r="F75" s="756"/>
      <c r="G75" s="756"/>
      <c r="H75" s="756"/>
      <c r="I75" s="756"/>
      <c r="J75" s="756"/>
      <c r="K75" s="756"/>
      <c r="L75" s="756"/>
      <c r="M75" s="756"/>
      <c r="N75" s="756"/>
    </row>
    <row r="76" spans="1:14" x14ac:dyDescent="0.25">
      <c r="A76" s="756"/>
      <c r="B76" s="756"/>
      <c r="C76" s="756"/>
      <c r="D76" s="756"/>
      <c r="E76" s="756"/>
      <c r="F76" s="756"/>
      <c r="G76" s="756"/>
      <c r="H76" s="756"/>
      <c r="I76" s="756"/>
      <c r="J76" s="756"/>
      <c r="K76" s="756"/>
      <c r="L76" s="756"/>
      <c r="M76" s="756"/>
      <c r="N76" s="756"/>
    </row>
    <row r="77" spans="1:14" x14ac:dyDescent="0.25">
      <c r="A77" s="756"/>
      <c r="B77" s="756"/>
      <c r="C77" s="756"/>
      <c r="D77" s="756"/>
      <c r="E77" s="756"/>
      <c r="F77" s="756"/>
      <c r="G77" s="756"/>
      <c r="H77" s="756"/>
      <c r="I77" s="756"/>
      <c r="J77" s="756"/>
      <c r="K77" s="756"/>
      <c r="L77" s="756"/>
      <c r="M77" s="756"/>
      <c r="N77" s="756"/>
    </row>
    <row r="78" spans="1:14" x14ac:dyDescent="0.25">
      <c r="A78" s="756"/>
      <c r="B78" s="756"/>
      <c r="C78" s="756"/>
      <c r="D78" s="756"/>
      <c r="E78" s="756"/>
      <c r="F78" s="756"/>
      <c r="G78" s="756"/>
      <c r="H78" s="756"/>
      <c r="I78" s="756"/>
      <c r="J78" s="756"/>
      <c r="K78" s="756"/>
      <c r="L78" s="756"/>
      <c r="M78" s="756"/>
      <c r="N78" s="756"/>
    </row>
    <row r="79" spans="1:14" x14ac:dyDescent="0.25">
      <c r="A79" s="756"/>
      <c r="B79" s="756"/>
      <c r="C79" s="756"/>
      <c r="D79" s="756"/>
      <c r="E79" s="756"/>
      <c r="F79" s="756"/>
      <c r="G79" s="756"/>
      <c r="H79" s="756"/>
      <c r="I79" s="756"/>
      <c r="J79" s="756"/>
      <c r="K79" s="756"/>
      <c r="L79" s="756"/>
      <c r="M79" s="756"/>
      <c r="N79" s="756"/>
    </row>
    <row r="80" spans="1:14" x14ac:dyDescent="0.25">
      <c r="A80" s="756"/>
      <c r="B80" s="756"/>
      <c r="C80" s="756"/>
      <c r="D80" s="756"/>
      <c r="E80" s="756"/>
      <c r="F80" s="756"/>
      <c r="G80" s="756"/>
      <c r="H80" s="756"/>
      <c r="I80" s="756"/>
      <c r="J80" s="756"/>
      <c r="K80" s="756"/>
      <c r="L80" s="756"/>
      <c r="M80" s="756"/>
      <c r="N80" s="756"/>
    </row>
    <row r="81" spans="1:14" x14ac:dyDescent="0.25">
      <c r="A81" s="756"/>
      <c r="B81" s="756"/>
      <c r="C81" s="756"/>
      <c r="D81" s="756"/>
      <c r="E81" s="756"/>
      <c r="F81" s="756"/>
      <c r="G81" s="756"/>
      <c r="H81" s="756"/>
      <c r="I81" s="756"/>
      <c r="J81" s="756"/>
      <c r="K81" s="756"/>
      <c r="L81" s="756"/>
      <c r="M81" s="756"/>
      <c r="N81" s="756"/>
    </row>
    <row r="82" spans="1:14" x14ac:dyDescent="0.25">
      <c r="A82" s="756"/>
      <c r="B82" s="756"/>
      <c r="C82" s="756"/>
      <c r="D82" s="756"/>
      <c r="E82" s="756"/>
      <c r="F82" s="756"/>
      <c r="G82" s="756"/>
      <c r="H82" s="756"/>
      <c r="I82" s="756"/>
      <c r="J82" s="756"/>
      <c r="K82" s="756"/>
      <c r="L82" s="756"/>
      <c r="M82" s="756"/>
      <c r="N82" s="756"/>
    </row>
    <row r="83" spans="1:14" x14ac:dyDescent="0.25">
      <c r="A83" s="756"/>
      <c r="B83" s="756"/>
      <c r="C83" s="756"/>
      <c r="D83" s="756"/>
      <c r="E83" s="756"/>
      <c r="F83" s="756"/>
      <c r="G83" s="756"/>
      <c r="H83" s="756"/>
      <c r="I83" s="756"/>
      <c r="J83" s="756"/>
      <c r="K83" s="756"/>
      <c r="L83" s="756"/>
      <c r="M83" s="756"/>
      <c r="N83" s="756"/>
    </row>
    <row r="84" spans="1:14" x14ac:dyDescent="0.25">
      <c r="A84" s="756"/>
      <c r="B84" s="756"/>
      <c r="C84" s="756"/>
      <c r="D84" s="756"/>
      <c r="E84" s="756"/>
      <c r="F84" s="756"/>
      <c r="G84" s="756"/>
      <c r="H84" s="756"/>
      <c r="I84" s="756"/>
      <c r="J84" s="756"/>
      <c r="K84" s="756"/>
      <c r="L84" s="756"/>
      <c r="M84" s="756"/>
      <c r="N84" s="756"/>
    </row>
    <row r="85" spans="1:14" x14ac:dyDescent="0.25">
      <c r="A85" s="756"/>
      <c r="B85" s="756"/>
      <c r="C85" s="756"/>
      <c r="D85" s="756"/>
      <c r="E85" s="756"/>
      <c r="F85" s="756"/>
      <c r="G85" s="756"/>
      <c r="H85" s="756"/>
      <c r="I85" s="756"/>
      <c r="J85" s="756"/>
      <c r="K85" s="756"/>
      <c r="L85" s="756"/>
      <c r="M85" s="756"/>
      <c r="N85" s="756"/>
    </row>
    <row r="86" spans="1:14" x14ac:dyDescent="0.25">
      <c r="A86" s="756"/>
      <c r="B86" s="756"/>
      <c r="C86" s="756"/>
      <c r="D86" s="756"/>
      <c r="E86" s="756"/>
      <c r="F86" s="756"/>
      <c r="G86" s="756"/>
      <c r="H86" s="756"/>
      <c r="I86" s="756"/>
      <c r="J86" s="756"/>
      <c r="K86" s="756"/>
      <c r="L86" s="756"/>
      <c r="M86" s="756"/>
      <c r="N86" s="756"/>
    </row>
    <row r="87" spans="1:14" x14ac:dyDescent="0.25">
      <c r="A87" s="756"/>
      <c r="B87" s="756"/>
      <c r="C87" s="756"/>
      <c r="D87" s="756"/>
      <c r="E87" s="756"/>
      <c r="F87" s="756"/>
      <c r="G87" s="756"/>
      <c r="H87" s="756"/>
      <c r="I87" s="756"/>
      <c r="J87" s="756"/>
      <c r="K87" s="756"/>
      <c r="L87" s="756"/>
      <c r="M87" s="756"/>
      <c r="N87" s="756"/>
    </row>
    <row r="88" spans="1:14" x14ac:dyDescent="0.25">
      <c r="A88" s="756"/>
      <c r="B88" s="756"/>
      <c r="C88" s="756"/>
      <c r="D88" s="756"/>
      <c r="E88" s="756"/>
      <c r="F88" s="756"/>
      <c r="G88" s="756"/>
      <c r="H88" s="756"/>
      <c r="I88" s="756"/>
      <c r="J88" s="756"/>
      <c r="K88" s="756"/>
      <c r="L88" s="756"/>
      <c r="M88" s="756"/>
      <c r="N88" s="756"/>
    </row>
    <row r="89" spans="1:14" x14ac:dyDescent="0.25">
      <c r="A89" s="756"/>
      <c r="B89" s="756"/>
      <c r="C89" s="756"/>
      <c r="D89" s="756"/>
      <c r="E89" s="756"/>
      <c r="F89" s="756"/>
      <c r="G89" s="756"/>
      <c r="H89" s="756"/>
      <c r="I89" s="756"/>
      <c r="J89" s="756"/>
      <c r="K89" s="756"/>
      <c r="L89" s="756"/>
      <c r="M89" s="756"/>
      <c r="N89" s="756"/>
    </row>
    <row r="90" spans="1:14" x14ac:dyDescent="0.25">
      <c r="A90" s="756"/>
      <c r="B90" s="756"/>
      <c r="C90" s="756"/>
      <c r="D90" s="756"/>
      <c r="E90" s="756"/>
      <c r="F90" s="756"/>
      <c r="G90" s="756"/>
      <c r="H90" s="756"/>
      <c r="I90" s="756"/>
      <c r="J90" s="756"/>
      <c r="K90" s="756"/>
      <c r="L90" s="756"/>
      <c r="M90" s="756"/>
      <c r="N90" s="756"/>
    </row>
    <row r="91" spans="1:14" x14ac:dyDescent="0.25">
      <c r="A91" s="756"/>
      <c r="B91" s="756"/>
      <c r="C91" s="756"/>
      <c r="D91" s="756"/>
      <c r="E91" s="756"/>
      <c r="F91" s="756"/>
      <c r="G91" s="756"/>
      <c r="H91" s="756"/>
      <c r="I91" s="756"/>
      <c r="J91" s="756"/>
      <c r="K91" s="756"/>
      <c r="L91" s="756"/>
      <c r="M91" s="756"/>
      <c r="N91" s="756"/>
    </row>
    <row r="92" spans="1:14" x14ac:dyDescent="0.25">
      <c r="A92" s="756"/>
      <c r="B92" s="756"/>
      <c r="C92" s="756"/>
      <c r="D92" s="756"/>
      <c r="E92" s="756"/>
      <c r="F92" s="756"/>
      <c r="G92" s="756"/>
      <c r="H92" s="756"/>
      <c r="I92" s="756"/>
      <c r="J92" s="756"/>
      <c r="K92" s="756"/>
      <c r="L92" s="756"/>
      <c r="M92" s="756"/>
      <c r="N92" s="756"/>
    </row>
    <row r="93" spans="1:14" x14ac:dyDescent="0.25">
      <c r="A93" s="756"/>
      <c r="B93" s="756"/>
      <c r="C93" s="756"/>
      <c r="D93" s="756"/>
      <c r="E93" s="756"/>
      <c r="F93" s="756"/>
      <c r="G93" s="756"/>
      <c r="H93" s="756"/>
      <c r="I93" s="756"/>
      <c r="J93" s="756"/>
      <c r="K93" s="756"/>
      <c r="L93" s="756"/>
      <c r="M93" s="756"/>
      <c r="N93" s="756"/>
    </row>
    <row r="94" spans="1:14" x14ac:dyDescent="0.25">
      <c r="A94" s="756"/>
      <c r="B94" s="756"/>
      <c r="C94" s="756"/>
      <c r="D94" s="756"/>
      <c r="E94" s="756"/>
      <c r="F94" s="756"/>
      <c r="G94" s="756"/>
      <c r="H94" s="756"/>
      <c r="I94" s="756"/>
      <c r="J94" s="756"/>
      <c r="K94" s="756"/>
      <c r="L94" s="756"/>
      <c r="M94" s="756"/>
      <c r="N94" s="756"/>
    </row>
    <row r="95" spans="1:14" x14ac:dyDescent="0.25">
      <c r="A95" s="756"/>
      <c r="B95" s="756"/>
      <c r="C95" s="756"/>
      <c r="D95" s="756"/>
      <c r="E95" s="756"/>
      <c r="F95" s="756"/>
      <c r="G95" s="756"/>
      <c r="H95" s="756"/>
      <c r="I95" s="756"/>
      <c r="J95" s="756"/>
      <c r="K95" s="756"/>
      <c r="L95" s="756"/>
      <c r="M95" s="756"/>
      <c r="N95" s="756"/>
    </row>
    <row r="96" spans="1:14" x14ac:dyDescent="0.25">
      <c r="A96" s="756"/>
      <c r="B96" s="756"/>
      <c r="C96" s="756"/>
      <c r="D96" s="756"/>
      <c r="E96" s="756"/>
      <c r="F96" s="756"/>
      <c r="G96" s="756"/>
      <c r="H96" s="756"/>
      <c r="I96" s="756"/>
      <c r="J96" s="756"/>
      <c r="K96" s="756"/>
      <c r="L96" s="756"/>
      <c r="M96" s="756"/>
      <c r="N96" s="756"/>
    </row>
    <row r="97" spans="1:14" x14ac:dyDescent="0.25">
      <c r="A97" s="756"/>
      <c r="B97" s="756"/>
      <c r="C97" s="756"/>
      <c r="D97" s="756"/>
      <c r="E97" s="756"/>
      <c r="F97" s="756"/>
      <c r="G97" s="756"/>
      <c r="H97" s="756"/>
      <c r="I97" s="756"/>
      <c r="J97" s="756"/>
      <c r="K97" s="756"/>
      <c r="L97" s="756"/>
      <c r="M97" s="756"/>
      <c r="N97" s="756"/>
    </row>
    <row r="98" spans="1:14" x14ac:dyDescent="0.25">
      <c r="A98" s="756"/>
      <c r="B98" s="756"/>
      <c r="C98" s="756"/>
      <c r="D98" s="756"/>
      <c r="E98" s="756"/>
      <c r="F98" s="756"/>
      <c r="G98" s="756"/>
      <c r="H98" s="756"/>
      <c r="I98" s="756"/>
      <c r="J98" s="756"/>
      <c r="K98" s="756"/>
      <c r="L98" s="756"/>
      <c r="M98" s="756"/>
      <c r="N98" s="756"/>
    </row>
    <row r="99" spans="1:14" x14ac:dyDescent="0.25">
      <c r="A99" s="756"/>
      <c r="B99" s="756"/>
      <c r="C99" s="756"/>
      <c r="D99" s="756"/>
      <c r="E99" s="756"/>
      <c r="F99" s="756"/>
      <c r="G99" s="756"/>
      <c r="H99" s="756"/>
      <c r="I99" s="756"/>
      <c r="J99" s="756"/>
      <c r="K99" s="756"/>
      <c r="L99" s="756"/>
      <c r="M99" s="756"/>
      <c r="N99" s="756"/>
    </row>
    <row r="100" spans="1:14" x14ac:dyDescent="0.25">
      <c r="A100" s="756"/>
      <c r="B100" s="756"/>
      <c r="C100" s="756"/>
      <c r="D100" s="756"/>
      <c r="E100" s="756"/>
      <c r="F100" s="756"/>
      <c r="G100" s="756"/>
      <c r="H100" s="756"/>
      <c r="I100" s="756"/>
      <c r="J100" s="756"/>
      <c r="K100" s="756"/>
      <c r="L100" s="756"/>
      <c r="M100" s="756"/>
      <c r="N100" s="756"/>
    </row>
    <row r="101" spans="1:14" x14ac:dyDescent="0.25">
      <c r="A101" s="756"/>
      <c r="B101" s="756"/>
      <c r="C101" s="756"/>
      <c r="D101" s="756"/>
      <c r="E101" s="756"/>
      <c r="F101" s="756"/>
      <c r="G101" s="756"/>
      <c r="H101" s="756"/>
      <c r="I101" s="756"/>
      <c r="J101" s="756"/>
      <c r="K101" s="756"/>
      <c r="L101" s="756"/>
      <c r="M101" s="756"/>
      <c r="N101" s="756"/>
    </row>
    <row r="102" spans="1:14" x14ac:dyDescent="0.25">
      <c r="A102" s="756"/>
      <c r="B102" s="756"/>
      <c r="C102" s="756"/>
      <c r="D102" s="756"/>
      <c r="E102" s="756"/>
      <c r="F102" s="756"/>
      <c r="G102" s="756"/>
      <c r="H102" s="756"/>
      <c r="I102" s="756"/>
      <c r="J102" s="756"/>
      <c r="K102" s="756"/>
      <c r="L102" s="756"/>
      <c r="M102" s="756"/>
      <c r="N102" s="756"/>
    </row>
    <row r="103" spans="1:14" x14ac:dyDescent="0.25">
      <c r="A103" s="756"/>
      <c r="B103" s="756"/>
      <c r="C103" s="756"/>
      <c r="D103" s="756"/>
      <c r="E103" s="756"/>
      <c r="F103" s="756"/>
      <c r="G103" s="756"/>
      <c r="H103" s="756"/>
      <c r="I103" s="756"/>
      <c r="J103" s="756"/>
      <c r="K103" s="756"/>
      <c r="L103" s="756"/>
      <c r="M103" s="756"/>
      <c r="N103" s="756"/>
    </row>
    <row r="104" spans="1:14" x14ac:dyDescent="0.25">
      <c r="A104" s="756"/>
      <c r="B104" s="756"/>
      <c r="C104" s="756"/>
      <c r="D104" s="756"/>
      <c r="E104" s="756"/>
      <c r="F104" s="756"/>
      <c r="G104" s="756"/>
      <c r="H104" s="756"/>
      <c r="I104" s="756"/>
      <c r="J104" s="756"/>
      <c r="K104" s="756"/>
      <c r="L104" s="756"/>
      <c r="M104" s="756"/>
      <c r="N104" s="756"/>
    </row>
    <row r="105" spans="1:14" x14ac:dyDescent="0.25">
      <c r="A105" s="756"/>
      <c r="B105" s="756"/>
      <c r="C105" s="756"/>
      <c r="D105" s="756"/>
      <c r="E105" s="756"/>
      <c r="F105" s="756"/>
      <c r="G105" s="756"/>
      <c r="H105" s="756"/>
      <c r="I105" s="756"/>
      <c r="J105" s="756"/>
      <c r="K105" s="756"/>
      <c r="L105" s="756"/>
      <c r="M105" s="756"/>
      <c r="N105" s="756"/>
    </row>
    <row r="106" spans="1:14" x14ac:dyDescent="0.25">
      <c r="A106" s="756"/>
      <c r="B106" s="756"/>
      <c r="C106" s="756"/>
      <c r="D106" s="756"/>
      <c r="E106" s="756"/>
      <c r="F106" s="756"/>
      <c r="G106" s="756"/>
      <c r="H106" s="756"/>
      <c r="I106" s="756"/>
      <c r="J106" s="756"/>
      <c r="K106" s="756"/>
      <c r="L106" s="756"/>
      <c r="M106" s="756"/>
      <c r="N106" s="756"/>
    </row>
    <row r="107" spans="1:14" x14ac:dyDescent="0.25">
      <c r="A107" s="756"/>
      <c r="B107" s="756"/>
      <c r="C107" s="756"/>
      <c r="D107" s="756"/>
      <c r="E107" s="756"/>
      <c r="F107" s="756"/>
      <c r="G107" s="756"/>
      <c r="H107" s="756"/>
      <c r="I107" s="756"/>
      <c r="J107" s="756"/>
      <c r="K107" s="756"/>
      <c r="L107" s="756"/>
      <c r="M107" s="756"/>
      <c r="N107" s="756"/>
    </row>
    <row r="108" spans="1:14" x14ac:dyDescent="0.25">
      <c r="A108" s="756"/>
      <c r="B108" s="756"/>
      <c r="C108" s="756"/>
      <c r="D108" s="756"/>
      <c r="E108" s="756"/>
      <c r="F108" s="756"/>
      <c r="G108" s="756"/>
      <c r="H108" s="756"/>
      <c r="I108" s="756"/>
      <c r="J108" s="756"/>
      <c r="K108" s="756"/>
      <c r="L108" s="756"/>
      <c r="M108" s="756"/>
      <c r="N108" s="756"/>
    </row>
    <row r="109" spans="1:14" x14ac:dyDescent="0.25">
      <c r="A109" s="756"/>
      <c r="B109" s="756"/>
      <c r="C109" s="756"/>
      <c r="D109" s="756"/>
      <c r="E109" s="756"/>
      <c r="F109" s="756"/>
      <c r="G109" s="756"/>
      <c r="H109" s="756"/>
      <c r="I109" s="756"/>
      <c r="J109" s="756"/>
      <c r="K109" s="756"/>
      <c r="L109" s="756"/>
      <c r="M109" s="756"/>
      <c r="N109" s="756"/>
    </row>
    <row r="110" spans="1:14" x14ac:dyDescent="0.25">
      <c r="A110" s="756"/>
      <c r="B110" s="756"/>
      <c r="C110" s="756"/>
      <c r="D110" s="756"/>
      <c r="E110" s="756"/>
      <c r="F110" s="756"/>
      <c r="G110" s="756"/>
      <c r="H110" s="756"/>
      <c r="I110" s="756"/>
      <c r="J110" s="756"/>
      <c r="K110" s="756"/>
      <c r="L110" s="756"/>
      <c r="M110" s="756"/>
      <c r="N110" s="756"/>
    </row>
    <row r="111" spans="1:14" x14ac:dyDescent="0.25">
      <c r="A111" s="756"/>
      <c r="B111" s="756"/>
      <c r="C111" s="756"/>
      <c r="D111" s="756"/>
      <c r="E111" s="756"/>
      <c r="F111" s="756"/>
      <c r="G111" s="756"/>
      <c r="H111" s="756"/>
      <c r="I111" s="756"/>
      <c r="J111" s="756"/>
      <c r="K111" s="756"/>
      <c r="L111" s="756"/>
      <c r="M111" s="756"/>
      <c r="N111" s="756"/>
    </row>
    <row r="112" spans="1:14" x14ac:dyDescent="0.25">
      <c r="A112" s="756"/>
      <c r="B112" s="756"/>
      <c r="C112" s="756"/>
      <c r="D112" s="756"/>
      <c r="E112" s="756"/>
      <c r="F112" s="756"/>
      <c r="G112" s="756"/>
      <c r="H112" s="756"/>
      <c r="I112" s="756"/>
      <c r="J112" s="756"/>
      <c r="K112" s="756"/>
      <c r="L112" s="756"/>
      <c r="M112" s="756"/>
      <c r="N112" s="756"/>
    </row>
    <row r="113" spans="1:14" x14ac:dyDescent="0.25">
      <c r="A113" s="756"/>
      <c r="B113" s="756"/>
      <c r="C113" s="756"/>
      <c r="D113" s="756"/>
      <c r="E113" s="756"/>
      <c r="F113" s="756"/>
      <c r="G113" s="756"/>
      <c r="H113" s="756"/>
      <c r="I113" s="756"/>
      <c r="J113" s="756"/>
      <c r="K113" s="756"/>
      <c r="L113" s="756"/>
      <c r="M113" s="756"/>
      <c r="N113" s="756"/>
    </row>
    <row r="114" spans="1:14" x14ac:dyDescent="0.25">
      <c r="A114" s="756"/>
      <c r="B114" s="756"/>
      <c r="C114" s="756"/>
      <c r="D114" s="756"/>
      <c r="E114" s="756"/>
      <c r="F114" s="756"/>
      <c r="G114" s="756"/>
      <c r="H114" s="756"/>
      <c r="I114" s="756"/>
      <c r="J114" s="756"/>
      <c r="K114" s="756"/>
      <c r="L114" s="756"/>
      <c r="M114" s="756"/>
      <c r="N114" s="756"/>
    </row>
    <row r="115" spans="1:14" x14ac:dyDescent="0.25">
      <c r="A115" s="756"/>
      <c r="B115" s="756"/>
      <c r="C115" s="756"/>
      <c r="D115" s="756"/>
      <c r="E115" s="756"/>
      <c r="F115" s="756"/>
      <c r="G115" s="756"/>
      <c r="H115" s="756"/>
      <c r="I115" s="756"/>
      <c r="J115" s="756"/>
      <c r="K115" s="756"/>
      <c r="L115" s="756"/>
      <c r="M115" s="756"/>
      <c r="N115" s="756"/>
    </row>
    <row r="116" spans="1:14" x14ac:dyDescent="0.25">
      <c r="A116" s="756"/>
      <c r="B116" s="756"/>
      <c r="C116" s="756"/>
      <c r="D116" s="756"/>
      <c r="E116" s="756"/>
      <c r="F116" s="756"/>
      <c r="G116" s="756"/>
      <c r="H116" s="756"/>
      <c r="I116" s="756"/>
      <c r="J116" s="756"/>
      <c r="K116" s="756"/>
      <c r="L116" s="756"/>
      <c r="M116" s="756"/>
      <c r="N116" s="756"/>
    </row>
    <row r="117" spans="1:14" x14ac:dyDescent="0.25">
      <c r="A117" s="756"/>
      <c r="B117" s="756"/>
      <c r="C117" s="756"/>
      <c r="D117" s="756"/>
      <c r="E117" s="756"/>
      <c r="F117" s="756"/>
      <c r="G117" s="756"/>
      <c r="H117" s="756"/>
      <c r="I117" s="756"/>
      <c r="J117" s="756"/>
      <c r="K117" s="756"/>
      <c r="L117" s="756"/>
      <c r="M117" s="756"/>
      <c r="N117" s="756"/>
    </row>
    <row r="118" spans="1:14" x14ac:dyDescent="0.25">
      <c r="A118" s="756"/>
      <c r="B118" s="756"/>
      <c r="C118" s="756"/>
      <c r="D118" s="756"/>
      <c r="E118" s="756"/>
      <c r="F118" s="756"/>
      <c r="G118" s="756"/>
      <c r="H118" s="756"/>
      <c r="I118" s="756"/>
      <c r="J118" s="756"/>
      <c r="K118" s="756"/>
      <c r="L118" s="756"/>
      <c r="M118" s="756"/>
      <c r="N118" s="756"/>
    </row>
    <row r="119" spans="1:14" x14ac:dyDescent="0.25">
      <c r="A119" s="756"/>
      <c r="B119" s="756"/>
      <c r="C119" s="756"/>
      <c r="D119" s="756"/>
      <c r="E119" s="756"/>
      <c r="F119" s="756"/>
      <c r="G119" s="756"/>
      <c r="H119" s="756"/>
      <c r="I119" s="756"/>
      <c r="J119" s="756"/>
      <c r="K119" s="756"/>
      <c r="L119" s="756"/>
      <c r="M119" s="756"/>
      <c r="N119" s="756"/>
    </row>
    <row r="120" spans="1:14" x14ac:dyDescent="0.25">
      <c r="A120" s="756"/>
      <c r="B120" s="756"/>
      <c r="C120" s="756"/>
      <c r="D120" s="756"/>
      <c r="E120" s="756"/>
      <c r="F120" s="756"/>
      <c r="G120" s="756"/>
      <c r="H120" s="756"/>
      <c r="I120" s="756"/>
      <c r="J120" s="756"/>
      <c r="K120" s="756"/>
      <c r="L120" s="756"/>
      <c r="M120" s="756"/>
      <c r="N120" s="756"/>
    </row>
    <row r="121" spans="1:14" x14ac:dyDescent="0.25">
      <c r="A121" s="756"/>
      <c r="B121" s="756"/>
      <c r="C121" s="756"/>
      <c r="D121" s="756"/>
      <c r="E121" s="756"/>
      <c r="F121" s="756"/>
      <c r="G121" s="756"/>
      <c r="H121" s="756"/>
      <c r="I121" s="756"/>
      <c r="J121" s="756"/>
      <c r="K121" s="756"/>
      <c r="L121" s="756"/>
      <c r="M121" s="756"/>
      <c r="N121" s="756"/>
    </row>
    <row r="122" spans="1:14" x14ac:dyDescent="0.25">
      <c r="A122" s="756"/>
      <c r="B122" s="756"/>
      <c r="C122" s="756"/>
      <c r="D122" s="756"/>
      <c r="E122" s="756"/>
      <c r="F122" s="756"/>
      <c r="G122" s="756"/>
      <c r="H122" s="756"/>
      <c r="I122" s="756"/>
      <c r="J122" s="756"/>
      <c r="K122" s="756"/>
      <c r="L122" s="756"/>
      <c r="M122" s="756"/>
      <c r="N122" s="756"/>
    </row>
    <row r="123" spans="1:14" x14ac:dyDescent="0.25">
      <c r="A123" s="756"/>
      <c r="B123" s="756"/>
      <c r="C123" s="756"/>
      <c r="D123" s="756"/>
      <c r="E123" s="756"/>
      <c r="F123" s="756"/>
      <c r="G123" s="756"/>
      <c r="H123" s="756"/>
      <c r="I123" s="756"/>
      <c r="J123" s="756"/>
      <c r="K123" s="756"/>
      <c r="L123" s="756"/>
      <c r="M123" s="756"/>
      <c r="N123" s="756"/>
    </row>
    <row r="124" spans="1:14" x14ac:dyDescent="0.25">
      <c r="A124" s="756"/>
      <c r="B124" s="756"/>
      <c r="C124" s="756"/>
      <c r="D124" s="756"/>
      <c r="E124" s="756"/>
      <c r="F124" s="756"/>
      <c r="G124" s="756"/>
      <c r="H124" s="756"/>
      <c r="I124" s="756"/>
      <c r="J124" s="756"/>
      <c r="K124" s="756"/>
      <c r="L124" s="756"/>
      <c r="M124" s="756"/>
      <c r="N124" s="756"/>
    </row>
    <row r="125" spans="1:14" x14ac:dyDescent="0.25">
      <c r="A125" s="756"/>
      <c r="B125" s="756"/>
      <c r="C125" s="756"/>
      <c r="D125" s="756"/>
      <c r="E125" s="756"/>
      <c r="F125" s="756"/>
      <c r="G125" s="756"/>
      <c r="H125" s="756"/>
      <c r="I125" s="756"/>
      <c r="J125" s="756"/>
      <c r="K125" s="756"/>
      <c r="L125" s="756"/>
      <c r="M125" s="756"/>
      <c r="N125" s="756"/>
    </row>
    <row r="126" spans="1:14" x14ac:dyDescent="0.25">
      <c r="A126" s="756"/>
      <c r="B126" s="756"/>
      <c r="C126" s="756"/>
      <c r="D126" s="756"/>
      <c r="E126" s="756"/>
      <c r="F126" s="756"/>
      <c r="G126" s="756"/>
      <c r="H126" s="756"/>
      <c r="I126" s="756"/>
      <c r="J126" s="756"/>
      <c r="K126" s="756"/>
      <c r="L126" s="756"/>
      <c r="M126" s="756"/>
      <c r="N126" s="756"/>
    </row>
    <row r="127" spans="1:14" x14ac:dyDescent="0.25">
      <c r="A127" s="756"/>
      <c r="B127" s="756"/>
      <c r="C127" s="756"/>
      <c r="D127" s="756"/>
      <c r="E127" s="756"/>
      <c r="F127" s="756"/>
      <c r="G127" s="756"/>
      <c r="H127" s="756"/>
      <c r="I127" s="756"/>
      <c r="J127" s="756"/>
      <c r="K127" s="756"/>
      <c r="L127" s="756"/>
      <c r="M127" s="756"/>
      <c r="N127" s="756"/>
    </row>
    <row r="128" spans="1:14" x14ac:dyDescent="0.25">
      <c r="A128" s="756"/>
      <c r="B128" s="756"/>
      <c r="C128" s="756"/>
      <c r="D128" s="756"/>
      <c r="E128" s="756"/>
      <c r="F128" s="756"/>
      <c r="G128" s="756"/>
      <c r="H128" s="756"/>
      <c r="I128" s="756"/>
      <c r="J128" s="756"/>
      <c r="K128" s="756"/>
      <c r="L128" s="756"/>
      <c r="M128" s="756"/>
      <c r="N128" s="756"/>
    </row>
    <row r="129" spans="1:14" x14ac:dyDescent="0.25">
      <c r="A129" s="756"/>
      <c r="B129" s="756"/>
      <c r="C129" s="756"/>
      <c r="D129" s="756"/>
      <c r="E129" s="756"/>
      <c r="F129" s="756"/>
      <c r="G129" s="756"/>
      <c r="H129" s="756"/>
      <c r="I129" s="756"/>
      <c r="J129" s="756"/>
      <c r="K129" s="756"/>
      <c r="L129" s="756"/>
      <c r="M129" s="756"/>
      <c r="N129" s="756"/>
    </row>
    <row r="130" spans="1:14" x14ac:dyDescent="0.25">
      <c r="A130" s="756"/>
      <c r="B130" s="756"/>
      <c r="C130" s="756"/>
      <c r="D130" s="756"/>
      <c r="E130" s="756"/>
      <c r="F130" s="756"/>
      <c r="G130" s="756"/>
      <c r="H130" s="756"/>
      <c r="I130" s="756"/>
      <c r="J130" s="756"/>
      <c r="K130" s="756"/>
      <c r="L130" s="756"/>
      <c r="M130" s="756"/>
      <c r="N130" s="756"/>
    </row>
    <row r="131" spans="1:14" x14ac:dyDescent="0.25">
      <c r="A131" s="756"/>
      <c r="B131" s="756"/>
      <c r="C131" s="756"/>
      <c r="D131" s="756"/>
      <c r="E131" s="756"/>
      <c r="F131" s="756"/>
      <c r="G131" s="756"/>
      <c r="H131" s="756"/>
      <c r="I131" s="756"/>
      <c r="J131" s="756"/>
      <c r="K131" s="756"/>
      <c r="L131" s="756"/>
      <c r="M131" s="756"/>
      <c r="N131" s="756"/>
    </row>
    <row r="132" spans="1:14" x14ac:dyDescent="0.25">
      <c r="A132" s="756"/>
      <c r="B132" s="756"/>
      <c r="C132" s="756"/>
      <c r="D132" s="756"/>
      <c r="E132" s="756"/>
      <c r="F132" s="756"/>
      <c r="G132" s="756"/>
      <c r="H132" s="756"/>
      <c r="I132" s="756"/>
      <c r="J132" s="756"/>
      <c r="K132" s="756"/>
      <c r="L132" s="756"/>
      <c r="M132" s="756"/>
      <c r="N132" s="756"/>
    </row>
    <row r="133" spans="1:14" x14ac:dyDescent="0.25">
      <c r="A133" s="756"/>
      <c r="B133" s="756"/>
      <c r="C133" s="756"/>
      <c r="D133" s="756"/>
      <c r="E133" s="756"/>
      <c r="F133" s="756"/>
      <c r="G133" s="756"/>
      <c r="H133" s="756"/>
      <c r="I133" s="756"/>
      <c r="J133" s="756"/>
      <c r="K133" s="756"/>
      <c r="L133" s="756"/>
      <c r="M133" s="756"/>
      <c r="N133" s="756"/>
    </row>
    <row r="134" spans="1:14" x14ac:dyDescent="0.25">
      <c r="A134" s="756"/>
      <c r="B134" s="756"/>
      <c r="C134" s="756"/>
      <c r="D134" s="756"/>
      <c r="E134" s="756"/>
      <c r="F134" s="756"/>
      <c r="G134" s="756"/>
      <c r="H134" s="756"/>
      <c r="I134" s="756"/>
      <c r="J134" s="756"/>
      <c r="K134" s="756"/>
      <c r="L134" s="756"/>
      <c r="M134" s="756"/>
      <c r="N134" s="756"/>
    </row>
    <row r="135" spans="1:14" x14ac:dyDescent="0.25">
      <c r="A135" s="756"/>
      <c r="B135" s="756"/>
      <c r="C135" s="756"/>
      <c r="D135" s="756"/>
      <c r="E135" s="756"/>
      <c r="F135" s="756"/>
      <c r="G135" s="756"/>
      <c r="H135" s="756"/>
      <c r="I135" s="756"/>
      <c r="J135" s="756"/>
      <c r="K135" s="756"/>
      <c r="L135" s="756"/>
      <c r="M135" s="756"/>
      <c r="N135" s="756"/>
    </row>
    <row r="136" spans="1:14" x14ac:dyDescent="0.25">
      <c r="A136" s="756"/>
      <c r="B136" s="756"/>
      <c r="C136" s="756"/>
      <c r="D136" s="756"/>
      <c r="E136" s="756"/>
      <c r="F136" s="756"/>
      <c r="G136" s="756"/>
      <c r="H136" s="756"/>
      <c r="I136" s="756"/>
      <c r="J136" s="756"/>
      <c r="K136" s="756"/>
      <c r="L136" s="756"/>
      <c r="M136" s="756"/>
      <c r="N136" s="756"/>
    </row>
    <row r="137" spans="1:14" x14ac:dyDescent="0.25">
      <c r="A137" s="756"/>
      <c r="B137" s="756"/>
      <c r="C137" s="756"/>
      <c r="D137" s="756"/>
      <c r="E137" s="756"/>
      <c r="F137" s="756"/>
      <c r="G137" s="756"/>
      <c r="H137" s="756"/>
      <c r="I137" s="756"/>
      <c r="J137" s="756"/>
      <c r="K137" s="756"/>
      <c r="L137" s="756"/>
      <c r="M137" s="756"/>
      <c r="N137" s="756"/>
    </row>
    <row r="138" spans="1:14" x14ac:dyDescent="0.25">
      <c r="A138" s="756"/>
      <c r="B138" s="756"/>
      <c r="C138" s="756"/>
      <c r="D138" s="756"/>
      <c r="E138" s="756"/>
      <c r="F138" s="756"/>
      <c r="G138" s="756"/>
      <c r="H138" s="756"/>
      <c r="I138" s="756"/>
      <c r="J138" s="756"/>
      <c r="K138" s="756"/>
      <c r="L138" s="756"/>
      <c r="M138" s="756"/>
      <c r="N138" s="756"/>
    </row>
    <row r="139" spans="1:14" x14ac:dyDescent="0.25">
      <c r="A139" s="756"/>
      <c r="B139" s="756"/>
      <c r="C139" s="756"/>
      <c r="D139" s="756"/>
      <c r="E139" s="756"/>
      <c r="F139" s="756"/>
      <c r="G139" s="756"/>
      <c r="H139" s="756"/>
      <c r="I139" s="756"/>
      <c r="J139" s="756"/>
      <c r="K139" s="756"/>
      <c r="L139" s="756"/>
      <c r="M139" s="756"/>
      <c r="N139" s="756"/>
    </row>
    <row r="140" spans="1:14" x14ac:dyDescent="0.25">
      <c r="A140" s="756"/>
      <c r="B140" s="756"/>
      <c r="C140" s="756"/>
      <c r="D140" s="756"/>
      <c r="E140" s="756"/>
      <c r="F140" s="756"/>
      <c r="G140" s="756"/>
      <c r="H140" s="756"/>
      <c r="I140" s="756"/>
      <c r="J140" s="756"/>
      <c r="K140" s="756"/>
      <c r="L140" s="756"/>
      <c r="M140" s="756"/>
      <c r="N140" s="756"/>
    </row>
    <row r="141" spans="1:14" x14ac:dyDescent="0.25">
      <c r="A141" s="756"/>
      <c r="B141" s="756"/>
      <c r="C141" s="756"/>
      <c r="D141" s="756"/>
      <c r="E141" s="756"/>
      <c r="F141" s="756"/>
      <c r="G141" s="756"/>
      <c r="H141" s="756"/>
      <c r="I141" s="756"/>
      <c r="J141" s="756"/>
      <c r="K141" s="756"/>
      <c r="L141" s="756"/>
      <c r="M141" s="756"/>
      <c r="N141" s="756"/>
    </row>
    <row r="142" spans="1:14" x14ac:dyDescent="0.25">
      <c r="A142" s="756"/>
      <c r="B142" s="756"/>
      <c r="C142" s="756"/>
      <c r="D142" s="756"/>
      <c r="E142" s="756"/>
      <c r="F142" s="756"/>
      <c r="G142" s="756"/>
      <c r="H142" s="756"/>
      <c r="I142" s="756"/>
      <c r="J142" s="756"/>
      <c r="K142" s="756"/>
      <c r="L142" s="756"/>
      <c r="M142" s="756"/>
      <c r="N142" s="756"/>
    </row>
    <row r="143" spans="1:14" x14ac:dyDescent="0.25">
      <c r="A143" s="756"/>
      <c r="B143" s="756"/>
      <c r="C143" s="756"/>
      <c r="D143" s="756"/>
      <c r="E143" s="756"/>
      <c r="F143" s="756"/>
      <c r="G143" s="756"/>
      <c r="H143" s="756"/>
      <c r="I143" s="756"/>
      <c r="J143" s="756"/>
      <c r="K143" s="756"/>
      <c r="L143" s="756"/>
      <c r="M143" s="756"/>
      <c r="N143" s="756"/>
    </row>
    <row r="144" spans="1:14" x14ac:dyDescent="0.25">
      <c r="A144" s="756"/>
      <c r="B144" s="756"/>
      <c r="C144" s="756"/>
      <c r="D144" s="756"/>
      <c r="E144" s="756"/>
      <c r="F144" s="756"/>
      <c r="G144" s="756"/>
      <c r="H144" s="756"/>
      <c r="I144" s="756"/>
      <c r="J144" s="756"/>
      <c r="K144" s="756"/>
      <c r="L144" s="756"/>
      <c r="M144" s="756"/>
      <c r="N144" s="756"/>
    </row>
    <row r="145" spans="1:14" x14ac:dyDescent="0.25">
      <c r="A145" s="756"/>
      <c r="B145" s="756"/>
      <c r="C145" s="756"/>
      <c r="D145" s="756"/>
      <c r="E145" s="756"/>
      <c r="F145" s="756"/>
      <c r="G145" s="756"/>
      <c r="H145" s="756"/>
      <c r="I145" s="756"/>
      <c r="J145" s="756"/>
      <c r="K145" s="756"/>
      <c r="L145" s="756"/>
      <c r="M145" s="756"/>
      <c r="N145" s="756"/>
    </row>
    <row r="146" spans="1:14" x14ac:dyDescent="0.25">
      <c r="A146" s="756"/>
      <c r="B146" s="756"/>
      <c r="C146" s="756"/>
      <c r="D146" s="756"/>
      <c r="E146" s="756"/>
      <c r="F146" s="756"/>
      <c r="G146" s="756"/>
      <c r="H146" s="756"/>
      <c r="I146" s="756"/>
      <c r="J146" s="756"/>
      <c r="K146" s="756"/>
      <c r="L146" s="756"/>
      <c r="M146" s="756"/>
      <c r="N146" s="756"/>
    </row>
    <row r="147" spans="1:14" x14ac:dyDescent="0.25">
      <c r="A147" s="756"/>
      <c r="B147" s="756"/>
      <c r="C147" s="756"/>
      <c r="D147" s="756"/>
      <c r="E147" s="756"/>
      <c r="F147" s="756"/>
      <c r="G147" s="756"/>
      <c r="H147" s="756"/>
      <c r="I147" s="756"/>
      <c r="J147" s="756"/>
      <c r="K147" s="756"/>
      <c r="L147" s="756"/>
      <c r="M147" s="756"/>
      <c r="N147" s="756"/>
    </row>
    <row r="148" spans="1:14" x14ac:dyDescent="0.25">
      <c r="A148" s="756"/>
      <c r="B148" s="756"/>
      <c r="C148" s="756"/>
      <c r="D148" s="756"/>
      <c r="E148" s="756"/>
      <c r="F148" s="756"/>
      <c r="G148" s="756"/>
      <c r="H148" s="756"/>
      <c r="I148" s="756"/>
      <c r="J148" s="756"/>
      <c r="K148" s="756"/>
      <c r="L148" s="756"/>
      <c r="M148" s="756"/>
      <c r="N148" s="756"/>
    </row>
    <row r="149" spans="1:14" x14ac:dyDescent="0.25">
      <c r="A149" s="756"/>
      <c r="B149" s="756"/>
      <c r="C149" s="756"/>
      <c r="D149" s="756"/>
      <c r="E149" s="756"/>
      <c r="F149" s="756"/>
      <c r="G149" s="756"/>
      <c r="H149" s="756"/>
      <c r="I149" s="756"/>
      <c r="J149" s="756"/>
      <c r="K149" s="756"/>
      <c r="L149" s="756"/>
      <c r="M149" s="756"/>
      <c r="N149" s="756"/>
    </row>
    <row r="150" spans="1:14" x14ac:dyDescent="0.25">
      <c r="A150" s="756"/>
      <c r="B150" s="756"/>
      <c r="C150" s="756"/>
      <c r="D150" s="756"/>
      <c r="E150" s="756"/>
      <c r="F150" s="756"/>
      <c r="G150" s="756"/>
      <c r="H150" s="756"/>
      <c r="I150" s="756"/>
      <c r="J150" s="756"/>
      <c r="K150" s="756"/>
      <c r="L150" s="756"/>
      <c r="M150" s="756"/>
      <c r="N150" s="756"/>
    </row>
    <row r="151" spans="1:14" x14ac:dyDescent="0.25">
      <c r="A151" s="756"/>
      <c r="B151" s="756"/>
      <c r="C151" s="756"/>
      <c r="D151" s="756"/>
      <c r="E151" s="756"/>
      <c r="F151" s="756"/>
      <c r="G151" s="756"/>
      <c r="H151" s="756"/>
      <c r="I151" s="756"/>
      <c r="J151" s="756"/>
      <c r="K151" s="756"/>
      <c r="L151" s="756"/>
      <c r="M151" s="756"/>
      <c r="N151" s="756"/>
    </row>
    <row r="152" spans="1:14" x14ac:dyDescent="0.25">
      <c r="A152" s="756"/>
      <c r="B152" s="756"/>
      <c r="C152" s="756"/>
      <c r="D152" s="756"/>
      <c r="E152" s="756"/>
      <c r="F152" s="756"/>
      <c r="G152" s="756"/>
      <c r="H152" s="756"/>
      <c r="I152" s="756"/>
      <c r="J152" s="756"/>
      <c r="K152" s="756"/>
      <c r="L152" s="756"/>
      <c r="M152" s="756"/>
      <c r="N152" s="756"/>
    </row>
    <row r="153" spans="1:14" x14ac:dyDescent="0.25">
      <c r="A153" s="756"/>
      <c r="B153" s="756"/>
      <c r="C153" s="756"/>
      <c r="D153" s="756"/>
      <c r="E153" s="756"/>
      <c r="F153" s="756"/>
      <c r="G153" s="756"/>
      <c r="H153" s="756"/>
      <c r="I153" s="756"/>
      <c r="J153" s="756"/>
      <c r="K153" s="756"/>
      <c r="L153" s="756"/>
      <c r="M153" s="756"/>
      <c r="N153" s="756"/>
    </row>
    <row r="154" spans="1:14" x14ac:dyDescent="0.25">
      <c r="A154" s="756"/>
      <c r="B154" s="756"/>
      <c r="C154" s="756"/>
      <c r="D154" s="756"/>
      <c r="E154" s="756"/>
      <c r="F154" s="756"/>
      <c r="G154" s="756"/>
      <c r="H154" s="756"/>
      <c r="I154" s="756"/>
      <c r="J154" s="756"/>
      <c r="K154" s="756"/>
      <c r="L154" s="756"/>
      <c r="M154" s="756"/>
      <c r="N154" s="756"/>
    </row>
    <row r="155" spans="1:14" x14ac:dyDescent="0.25">
      <c r="A155" s="756"/>
      <c r="B155" s="756"/>
      <c r="C155" s="756"/>
      <c r="D155" s="756"/>
      <c r="E155" s="756"/>
      <c r="F155" s="756"/>
      <c r="G155" s="756"/>
      <c r="H155" s="756"/>
      <c r="I155" s="756"/>
      <c r="J155" s="756"/>
      <c r="K155" s="756"/>
      <c r="L155" s="756"/>
      <c r="M155" s="756"/>
      <c r="N155" s="756"/>
    </row>
    <row r="156" spans="1:14" x14ac:dyDescent="0.25">
      <c r="A156" s="756"/>
      <c r="B156" s="756"/>
      <c r="C156" s="756"/>
      <c r="D156" s="756"/>
      <c r="E156" s="756"/>
      <c r="F156" s="756"/>
      <c r="G156" s="756"/>
      <c r="H156" s="756"/>
      <c r="I156" s="756"/>
      <c r="J156" s="756"/>
      <c r="K156" s="756"/>
      <c r="L156" s="756"/>
      <c r="M156" s="756"/>
      <c r="N156" s="756"/>
    </row>
    <row r="157" spans="1:14" x14ac:dyDescent="0.25">
      <c r="A157" s="756"/>
      <c r="B157" s="756"/>
      <c r="C157" s="756"/>
      <c r="D157" s="756"/>
      <c r="E157" s="756"/>
      <c r="F157" s="756"/>
      <c r="G157" s="756"/>
      <c r="H157" s="756"/>
      <c r="I157" s="756"/>
      <c r="J157" s="756"/>
      <c r="K157" s="756"/>
      <c r="L157" s="756"/>
      <c r="M157" s="756"/>
      <c r="N157" s="756"/>
    </row>
    <row r="158" spans="1:14" x14ac:dyDescent="0.25">
      <c r="A158" s="756"/>
      <c r="B158" s="756"/>
      <c r="C158" s="756"/>
      <c r="D158" s="756"/>
      <c r="E158" s="756"/>
      <c r="F158" s="756"/>
      <c r="G158" s="756"/>
      <c r="H158" s="756"/>
      <c r="I158" s="756"/>
      <c r="J158" s="756"/>
      <c r="K158" s="756"/>
      <c r="L158" s="756"/>
      <c r="M158" s="756"/>
      <c r="N158" s="756"/>
    </row>
    <row r="159" spans="1:14" x14ac:dyDescent="0.25">
      <c r="A159" s="756"/>
      <c r="B159" s="756"/>
      <c r="C159" s="756"/>
      <c r="D159" s="756"/>
      <c r="E159" s="756"/>
      <c r="F159" s="756"/>
      <c r="G159" s="756"/>
      <c r="H159" s="756"/>
      <c r="I159" s="756"/>
      <c r="J159" s="756"/>
      <c r="K159" s="756"/>
      <c r="L159" s="756"/>
      <c r="M159" s="756"/>
      <c r="N159" s="756"/>
    </row>
    <row r="160" spans="1:14" x14ac:dyDescent="0.25">
      <c r="A160" s="756"/>
      <c r="B160" s="756"/>
      <c r="C160" s="756"/>
      <c r="D160" s="756"/>
      <c r="E160" s="756"/>
      <c r="F160" s="756"/>
      <c r="G160" s="756"/>
      <c r="H160" s="756"/>
      <c r="I160" s="756"/>
      <c r="J160" s="756"/>
      <c r="K160" s="756"/>
      <c r="L160" s="756"/>
      <c r="M160" s="756"/>
      <c r="N160" s="756"/>
    </row>
    <row r="161" spans="1:14" x14ac:dyDescent="0.25">
      <c r="A161" s="756"/>
      <c r="B161" s="756"/>
      <c r="C161" s="756"/>
      <c r="D161" s="756"/>
      <c r="E161" s="756"/>
      <c r="F161" s="756"/>
      <c r="G161" s="756"/>
      <c r="H161" s="756"/>
      <c r="I161" s="756"/>
      <c r="J161" s="756"/>
      <c r="K161" s="756"/>
      <c r="L161" s="756"/>
      <c r="M161" s="756"/>
      <c r="N161" s="756"/>
    </row>
    <row r="162" spans="1:14" x14ac:dyDescent="0.25">
      <c r="A162" s="756"/>
      <c r="B162" s="756"/>
      <c r="C162" s="756"/>
      <c r="D162" s="756"/>
      <c r="E162" s="756"/>
      <c r="F162" s="756"/>
      <c r="G162" s="756"/>
      <c r="H162" s="756"/>
      <c r="I162" s="756"/>
      <c r="J162" s="756"/>
      <c r="K162" s="756"/>
      <c r="L162" s="756"/>
      <c r="M162" s="756"/>
      <c r="N162" s="756"/>
    </row>
    <row r="163" spans="1:14" x14ac:dyDescent="0.25">
      <c r="A163" s="756"/>
      <c r="B163" s="756"/>
      <c r="C163" s="756"/>
      <c r="D163" s="756"/>
      <c r="E163" s="756"/>
      <c r="F163" s="756"/>
      <c r="G163" s="756"/>
      <c r="H163" s="756"/>
      <c r="I163" s="756"/>
      <c r="J163" s="756"/>
      <c r="K163" s="756"/>
      <c r="L163" s="756"/>
      <c r="M163" s="756"/>
      <c r="N163" s="756"/>
    </row>
    <row r="164" spans="1:14" x14ac:dyDescent="0.25">
      <c r="A164" s="756"/>
      <c r="B164" s="756"/>
      <c r="C164" s="756"/>
      <c r="D164" s="756"/>
      <c r="E164" s="756"/>
      <c r="F164" s="756"/>
      <c r="G164" s="756"/>
      <c r="H164" s="756"/>
      <c r="I164" s="756"/>
      <c r="J164" s="756"/>
      <c r="K164" s="756"/>
      <c r="L164" s="756"/>
      <c r="M164" s="756"/>
      <c r="N164" s="756"/>
    </row>
    <row r="165" spans="1:14" x14ac:dyDescent="0.25">
      <c r="A165" s="756"/>
      <c r="B165" s="756"/>
      <c r="C165" s="756"/>
      <c r="D165" s="756"/>
      <c r="E165" s="756"/>
      <c r="F165" s="756"/>
      <c r="G165" s="756"/>
      <c r="H165" s="756"/>
      <c r="I165" s="756"/>
      <c r="J165" s="756"/>
      <c r="K165" s="756"/>
      <c r="L165" s="756"/>
      <c r="M165" s="756"/>
      <c r="N165" s="756"/>
    </row>
    <row r="166" spans="1:14" x14ac:dyDescent="0.25">
      <c r="A166" s="756"/>
      <c r="B166" s="756"/>
      <c r="C166" s="756"/>
      <c r="D166" s="756"/>
      <c r="E166" s="756"/>
      <c r="F166" s="756"/>
      <c r="G166" s="756"/>
      <c r="H166" s="756"/>
      <c r="I166" s="756"/>
      <c r="J166" s="756"/>
      <c r="K166" s="756"/>
      <c r="L166" s="756"/>
      <c r="M166" s="756"/>
      <c r="N166" s="756"/>
    </row>
    <row r="167" spans="1:14" x14ac:dyDescent="0.25">
      <c r="A167" s="756"/>
      <c r="B167" s="756"/>
      <c r="C167" s="756"/>
      <c r="D167" s="756"/>
      <c r="E167" s="756"/>
      <c r="F167" s="756"/>
      <c r="G167" s="756"/>
      <c r="H167" s="756"/>
      <c r="I167" s="756"/>
      <c r="J167" s="756"/>
      <c r="K167" s="756"/>
      <c r="L167" s="756"/>
      <c r="M167" s="756"/>
      <c r="N167" s="756"/>
    </row>
    <row r="168" spans="1:14" x14ac:dyDescent="0.25">
      <c r="A168" s="756"/>
      <c r="B168" s="756"/>
      <c r="C168" s="756"/>
      <c r="D168" s="756"/>
      <c r="E168" s="756"/>
      <c r="F168" s="756"/>
      <c r="G168" s="756"/>
      <c r="H168" s="756"/>
      <c r="I168" s="756"/>
      <c r="J168" s="756"/>
      <c r="K168" s="756"/>
      <c r="L168" s="756"/>
      <c r="M168" s="756"/>
      <c r="N168" s="756"/>
    </row>
    <row r="169" spans="1:14" x14ac:dyDescent="0.25">
      <c r="A169" s="756"/>
      <c r="B169" s="756"/>
      <c r="C169" s="756"/>
      <c r="D169" s="756"/>
      <c r="E169" s="756"/>
      <c r="F169" s="756"/>
      <c r="G169" s="756"/>
      <c r="H169" s="756"/>
      <c r="I169" s="756"/>
      <c r="J169" s="756"/>
      <c r="K169" s="756"/>
      <c r="L169" s="756"/>
      <c r="M169" s="756"/>
      <c r="N169" s="756"/>
    </row>
    <row r="170" spans="1:14" x14ac:dyDescent="0.25">
      <c r="A170" s="756"/>
      <c r="B170" s="756"/>
      <c r="C170" s="756"/>
      <c r="D170" s="756"/>
      <c r="E170" s="756"/>
      <c r="F170" s="756"/>
      <c r="G170" s="756"/>
      <c r="H170" s="756"/>
      <c r="I170" s="756"/>
      <c r="J170" s="756"/>
      <c r="K170" s="756"/>
      <c r="L170" s="756"/>
      <c r="M170" s="756"/>
      <c r="N170" s="756"/>
    </row>
    <row r="171" spans="1:14" x14ac:dyDescent="0.25">
      <c r="A171" s="756"/>
      <c r="B171" s="756"/>
      <c r="C171" s="756"/>
      <c r="D171" s="756"/>
      <c r="E171" s="756"/>
      <c r="F171" s="756"/>
      <c r="G171" s="756"/>
      <c r="H171" s="756"/>
      <c r="I171" s="756"/>
      <c r="J171" s="756"/>
      <c r="K171" s="756"/>
      <c r="L171" s="756"/>
      <c r="M171" s="756"/>
      <c r="N171" s="756"/>
    </row>
    <row r="172" spans="1:14" x14ac:dyDescent="0.25">
      <c r="A172" s="756"/>
      <c r="B172" s="756"/>
      <c r="C172" s="756"/>
      <c r="D172" s="756"/>
      <c r="E172" s="756"/>
      <c r="F172" s="756"/>
      <c r="G172" s="756"/>
      <c r="H172" s="756"/>
      <c r="I172" s="756"/>
      <c r="J172" s="756"/>
      <c r="K172" s="756"/>
      <c r="L172" s="756"/>
      <c r="M172" s="756"/>
      <c r="N172" s="756"/>
    </row>
    <row r="173" spans="1:14" x14ac:dyDescent="0.25">
      <c r="A173" s="756"/>
      <c r="B173" s="756"/>
      <c r="C173" s="756"/>
      <c r="D173" s="756"/>
      <c r="E173" s="756"/>
      <c r="F173" s="756"/>
      <c r="G173" s="756"/>
      <c r="H173" s="756"/>
      <c r="I173" s="756"/>
      <c r="J173" s="756"/>
      <c r="K173" s="756"/>
      <c r="L173" s="756"/>
      <c r="M173" s="756"/>
      <c r="N173" s="756"/>
    </row>
    <row r="174" spans="1:14" x14ac:dyDescent="0.25">
      <c r="A174" s="756"/>
      <c r="B174" s="756"/>
      <c r="C174" s="756"/>
      <c r="D174" s="756"/>
      <c r="E174" s="756"/>
      <c r="F174" s="756"/>
      <c r="G174" s="756"/>
      <c r="H174" s="756"/>
      <c r="I174" s="756"/>
      <c r="J174" s="756"/>
      <c r="K174" s="756"/>
      <c r="L174" s="756"/>
      <c r="M174" s="756"/>
      <c r="N174" s="756"/>
    </row>
    <row r="175" spans="1:14" x14ac:dyDescent="0.25">
      <c r="A175" s="756"/>
      <c r="B175" s="756"/>
      <c r="C175" s="756"/>
      <c r="D175" s="756"/>
      <c r="E175" s="756"/>
      <c r="F175" s="756"/>
      <c r="G175" s="756"/>
      <c r="H175" s="756"/>
      <c r="I175" s="756"/>
      <c r="J175" s="756"/>
      <c r="K175" s="756"/>
      <c r="L175" s="756"/>
      <c r="M175" s="756"/>
      <c r="N175" s="756"/>
    </row>
    <row r="176" spans="1:14" x14ac:dyDescent="0.25">
      <c r="A176" s="756"/>
      <c r="B176" s="756"/>
      <c r="C176" s="756"/>
      <c r="D176" s="756"/>
      <c r="E176" s="756"/>
      <c r="F176" s="756"/>
      <c r="G176" s="756"/>
      <c r="H176" s="756"/>
      <c r="I176" s="756"/>
      <c r="J176" s="756"/>
      <c r="K176" s="756"/>
      <c r="L176" s="756"/>
      <c r="M176" s="756"/>
      <c r="N176" s="756"/>
    </row>
    <row r="177" spans="1:14" x14ac:dyDescent="0.25">
      <c r="A177" s="756"/>
      <c r="B177" s="756"/>
      <c r="C177" s="756"/>
      <c r="D177" s="756"/>
      <c r="E177" s="756"/>
      <c r="F177" s="756"/>
      <c r="G177" s="756"/>
      <c r="H177" s="756"/>
      <c r="I177" s="756"/>
      <c r="J177" s="756"/>
      <c r="K177" s="756"/>
      <c r="L177" s="756"/>
      <c r="M177" s="756"/>
      <c r="N177" s="756"/>
    </row>
    <row r="178" spans="1:14" x14ac:dyDescent="0.25">
      <c r="A178" s="756"/>
      <c r="B178" s="756"/>
      <c r="C178" s="756"/>
      <c r="D178" s="756"/>
      <c r="E178" s="756"/>
      <c r="F178" s="756"/>
      <c r="G178" s="756"/>
      <c r="H178" s="756"/>
      <c r="I178" s="756"/>
      <c r="J178" s="756"/>
      <c r="K178" s="756"/>
      <c r="L178" s="756"/>
      <c r="M178" s="756"/>
      <c r="N178" s="756"/>
    </row>
    <row r="179" spans="1:14" x14ac:dyDescent="0.25">
      <c r="A179" s="756"/>
      <c r="B179" s="756"/>
      <c r="C179" s="756"/>
      <c r="D179" s="756"/>
      <c r="E179" s="756"/>
      <c r="F179" s="756"/>
      <c r="G179" s="756"/>
      <c r="H179" s="756"/>
      <c r="I179" s="756"/>
      <c r="J179" s="756"/>
      <c r="K179" s="756"/>
      <c r="L179" s="756"/>
      <c r="M179" s="756"/>
      <c r="N179" s="756"/>
    </row>
    <row r="180" spans="1:14" x14ac:dyDescent="0.25">
      <c r="A180" s="756"/>
      <c r="B180" s="756"/>
      <c r="C180" s="756"/>
      <c r="D180" s="756"/>
      <c r="E180" s="756"/>
      <c r="F180" s="756"/>
      <c r="G180" s="756"/>
      <c r="H180" s="756"/>
      <c r="I180" s="756"/>
      <c r="J180" s="756"/>
      <c r="K180" s="756"/>
      <c r="L180" s="756"/>
      <c r="M180" s="756"/>
      <c r="N180" s="756"/>
    </row>
    <row r="181" spans="1:14" x14ac:dyDescent="0.25">
      <c r="A181" s="756"/>
      <c r="B181" s="756"/>
      <c r="C181" s="756"/>
      <c r="D181" s="756"/>
      <c r="E181" s="756"/>
      <c r="F181" s="756"/>
      <c r="G181" s="756"/>
      <c r="H181" s="756"/>
      <c r="I181" s="756"/>
      <c r="J181" s="756"/>
      <c r="K181" s="756"/>
      <c r="L181" s="756"/>
      <c r="M181" s="756"/>
      <c r="N181" s="756"/>
    </row>
    <row r="182" spans="1:14" x14ac:dyDescent="0.25">
      <c r="A182" s="756"/>
      <c r="B182" s="756"/>
      <c r="C182" s="756"/>
      <c r="D182" s="756"/>
      <c r="E182" s="756"/>
      <c r="F182" s="756"/>
      <c r="G182" s="756"/>
      <c r="H182" s="756"/>
      <c r="I182" s="756"/>
      <c r="J182" s="756"/>
      <c r="K182" s="756"/>
      <c r="L182" s="756"/>
      <c r="M182" s="756"/>
      <c r="N182" s="756"/>
    </row>
    <row r="183" spans="1:14" x14ac:dyDescent="0.25">
      <c r="A183" s="756"/>
      <c r="B183" s="756"/>
      <c r="C183" s="756"/>
      <c r="D183" s="756"/>
      <c r="E183" s="756"/>
      <c r="F183" s="756"/>
      <c r="G183" s="756"/>
      <c r="H183" s="756"/>
      <c r="I183" s="756"/>
      <c r="J183" s="756"/>
      <c r="K183" s="756"/>
      <c r="L183" s="756"/>
      <c r="M183" s="756"/>
      <c r="N183" s="756"/>
    </row>
    <row r="184" spans="1:14" x14ac:dyDescent="0.25">
      <c r="A184" s="756"/>
      <c r="B184" s="756"/>
      <c r="C184" s="756"/>
      <c r="D184" s="756"/>
      <c r="E184" s="756"/>
      <c r="F184" s="756"/>
      <c r="G184" s="756"/>
      <c r="H184" s="756"/>
      <c r="I184" s="756"/>
      <c r="J184" s="756"/>
      <c r="K184" s="756"/>
      <c r="L184" s="756"/>
      <c r="M184" s="756"/>
      <c r="N184" s="756"/>
    </row>
    <row r="185" spans="1:14" x14ac:dyDescent="0.25">
      <c r="A185" s="756"/>
      <c r="B185" s="756"/>
      <c r="C185" s="756"/>
      <c r="D185" s="756"/>
      <c r="E185" s="756"/>
      <c r="F185" s="756"/>
      <c r="G185" s="756"/>
      <c r="H185" s="756"/>
      <c r="I185" s="756"/>
      <c r="J185" s="756"/>
      <c r="K185" s="756"/>
      <c r="L185" s="756"/>
      <c r="M185" s="756"/>
      <c r="N185" s="756"/>
    </row>
    <row r="186" spans="1:14" x14ac:dyDescent="0.25">
      <c r="A186" s="756"/>
      <c r="B186" s="756"/>
      <c r="C186" s="756"/>
      <c r="D186" s="756"/>
      <c r="E186" s="756"/>
      <c r="F186" s="756"/>
      <c r="G186" s="756"/>
      <c r="H186" s="756"/>
      <c r="I186" s="756"/>
      <c r="J186" s="756"/>
      <c r="K186" s="756"/>
      <c r="L186" s="756"/>
      <c r="M186" s="756"/>
      <c r="N186" s="756"/>
    </row>
    <row r="187" spans="1:14" x14ac:dyDescent="0.25">
      <c r="A187" s="756"/>
      <c r="B187" s="756"/>
      <c r="C187" s="756"/>
      <c r="D187" s="756"/>
      <c r="E187" s="756"/>
      <c r="F187" s="756"/>
      <c r="G187" s="756"/>
      <c r="H187" s="756"/>
      <c r="I187" s="756"/>
      <c r="J187" s="756"/>
      <c r="K187" s="756"/>
      <c r="L187" s="756"/>
      <c r="M187" s="756"/>
      <c r="N187" s="756"/>
    </row>
    <row r="188" spans="1:14" x14ac:dyDescent="0.25">
      <c r="A188" s="756"/>
      <c r="B188" s="756"/>
      <c r="C188" s="756"/>
      <c r="D188" s="756"/>
      <c r="E188" s="756"/>
      <c r="F188" s="756"/>
      <c r="G188" s="756"/>
      <c r="H188" s="756"/>
      <c r="I188" s="756"/>
      <c r="J188" s="756"/>
      <c r="K188" s="756"/>
      <c r="L188" s="756"/>
      <c r="M188" s="756"/>
      <c r="N188" s="756"/>
    </row>
    <row r="189" spans="1:14" x14ac:dyDescent="0.25">
      <c r="A189" s="756"/>
      <c r="B189" s="756"/>
      <c r="C189" s="756"/>
      <c r="D189" s="756"/>
      <c r="E189" s="756"/>
      <c r="F189" s="756"/>
      <c r="G189" s="756"/>
      <c r="H189" s="756"/>
      <c r="I189" s="756"/>
      <c r="J189" s="756"/>
      <c r="K189" s="756"/>
      <c r="L189" s="756"/>
      <c r="M189" s="756"/>
      <c r="N189" s="756"/>
    </row>
    <row r="190" spans="1:14" x14ac:dyDescent="0.25">
      <c r="A190" s="756"/>
      <c r="B190" s="756"/>
      <c r="C190" s="756"/>
      <c r="D190" s="756"/>
      <c r="E190" s="756"/>
      <c r="F190" s="756"/>
      <c r="G190" s="756"/>
      <c r="H190" s="756"/>
      <c r="I190" s="756"/>
      <c r="J190" s="756"/>
      <c r="K190" s="756"/>
      <c r="L190" s="756"/>
      <c r="M190" s="756"/>
      <c r="N190" s="756"/>
    </row>
    <row r="191" spans="1:14" x14ac:dyDescent="0.25">
      <c r="A191" s="756"/>
      <c r="B191" s="756"/>
      <c r="C191" s="756"/>
      <c r="D191" s="756"/>
      <c r="E191" s="756"/>
      <c r="F191" s="756"/>
      <c r="G191" s="756"/>
      <c r="H191" s="756"/>
      <c r="I191" s="756"/>
      <c r="J191" s="756"/>
      <c r="K191" s="756"/>
      <c r="L191" s="756"/>
      <c r="M191" s="756"/>
      <c r="N191" s="756"/>
    </row>
    <row r="192" spans="1:14" x14ac:dyDescent="0.25">
      <c r="A192" s="756"/>
      <c r="B192" s="756"/>
      <c r="C192" s="756"/>
      <c r="D192" s="756"/>
      <c r="E192" s="756"/>
      <c r="F192" s="756"/>
      <c r="G192" s="756"/>
      <c r="H192" s="756"/>
      <c r="I192" s="756"/>
      <c r="J192" s="756"/>
      <c r="K192" s="756"/>
      <c r="L192" s="756"/>
      <c r="M192" s="756"/>
      <c r="N192" s="756"/>
    </row>
    <row r="193" spans="1:14" x14ac:dyDescent="0.25">
      <c r="A193" s="756"/>
      <c r="B193" s="756"/>
      <c r="C193" s="756"/>
      <c r="D193" s="756"/>
      <c r="E193" s="756"/>
      <c r="F193" s="756"/>
      <c r="G193" s="756"/>
      <c r="H193" s="756"/>
      <c r="I193" s="756"/>
      <c r="J193" s="756"/>
      <c r="K193" s="756"/>
      <c r="L193" s="756"/>
      <c r="M193" s="756"/>
      <c r="N193" s="756"/>
    </row>
    <row r="194" spans="1:14" x14ac:dyDescent="0.25">
      <c r="A194" s="756"/>
      <c r="B194" s="756"/>
      <c r="C194" s="756"/>
      <c r="D194" s="756"/>
      <c r="E194" s="756"/>
      <c r="F194" s="756"/>
      <c r="G194" s="756"/>
      <c r="H194" s="756"/>
      <c r="I194" s="756"/>
      <c r="J194" s="756"/>
      <c r="K194" s="756"/>
      <c r="L194" s="756"/>
      <c r="M194" s="756"/>
      <c r="N194" s="756"/>
    </row>
    <row r="195" spans="1:14" x14ac:dyDescent="0.25">
      <c r="A195" s="756"/>
      <c r="B195" s="756"/>
      <c r="C195" s="756"/>
      <c r="D195" s="756"/>
      <c r="E195" s="756"/>
      <c r="F195" s="756"/>
      <c r="G195" s="756"/>
      <c r="H195" s="756"/>
      <c r="I195" s="756"/>
      <c r="J195" s="756"/>
      <c r="K195" s="756"/>
      <c r="L195" s="756"/>
      <c r="M195" s="756"/>
      <c r="N195" s="756"/>
    </row>
    <row r="196" spans="1:14" x14ac:dyDescent="0.25">
      <c r="A196" s="756"/>
      <c r="B196" s="756"/>
      <c r="C196" s="756"/>
      <c r="D196" s="756"/>
      <c r="E196" s="756"/>
      <c r="F196" s="756"/>
      <c r="G196" s="756"/>
      <c r="H196" s="756"/>
      <c r="I196" s="756"/>
      <c r="J196" s="756"/>
      <c r="K196" s="756"/>
      <c r="L196" s="756"/>
      <c r="M196" s="756"/>
      <c r="N196" s="756"/>
    </row>
    <row r="197" spans="1:14" x14ac:dyDescent="0.25">
      <c r="A197" s="756"/>
      <c r="B197" s="756"/>
      <c r="C197" s="756"/>
      <c r="D197" s="756"/>
      <c r="E197" s="756"/>
      <c r="F197" s="756"/>
      <c r="G197" s="756"/>
      <c r="H197" s="756"/>
      <c r="I197" s="756"/>
      <c r="J197" s="756"/>
      <c r="K197" s="756"/>
      <c r="L197" s="756"/>
      <c r="M197" s="756"/>
      <c r="N197" s="756"/>
    </row>
    <row r="198" spans="1:14" x14ac:dyDescent="0.25">
      <c r="A198" s="756"/>
      <c r="B198" s="756"/>
      <c r="C198" s="756"/>
      <c r="D198" s="756"/>
      <c r="E198" s="756"/>
      <c r="F198" s="756"/>
      <c r="G198" s="756"/>
      <c r="H198" s="756"/>
      <c r="I198" s="756"/>
      <c r="J198" s="756"/>
      <c r="K198" s="756"/>
      <c r="L198" s="756"/>
      <c r="M198" s="756"/>
      <c r="N198" s="756"/>
    </row>
    <row r="199" spans="1:14" x14ac:dyDescent="0.25">
      <c r="A199" s="756"/>
      <c r="B199" s="756"/>
      <c r="C199" s="756"/>
      <c r="D199" s="756"/>
      <c r="E199" s="756"/>
      <c r="F199" s="756"/>
      <c r="G199" s="756"/>
      <c r="H199" s="756"/>
      <c r="I199" s="756"/>
      <c r="J199" s="756"/>
      <c r="K199" s="756"/>
      <c r="L199" s="756"/>
      <c r="M199" s="756"/>
      <c r="N199" s="756"/>
    </row>
    <row r="200" spans="1:14" x14ac:dyDescent="0.25">
      <c r="A200" s="756"/>
      <c r="B200" s="756"/>
      <c r="C200" s="756"/>
      <c r="D200" s="756"/>
      <c r="E200" s="756"/>
      <c r="F200" s="756"/>
      <c r="G200" s="756"/>
      <c r="H200" s="756"/>
      <c r="I200" s="756"/>
      <c r="J200" s="756"/>
      <c r="K200" s="756"/>
      <c r="L200" s="756"/>
      <c r="M200" s="756"/>
      <c r="N200" s="756"/>
    </row>
    <row r="201" spans="1:14" x14ac:dyDescent="0.25">
      <c r="A201" s="756"/>
      <c r="B201" s="756"/>
      <c r="C201" s="756"/>
      <c r="D201" s="756"/>
      <c r="E201" s="756"/>
      <c r="F201" s="756"/>
      <c r="G201" s="756"/>
      <c r="H201" s="756"/>
      <c r="I201" s="756"/>
      <c r="J201" s="756"/>
      <c r="K201" s="756"/>
      <c r="L201" s="756"/>
      <c r="M201" s="756"/>
      <c r="N201" s="756"/>
    </row>
    <row r="202" spans="1:14" x14ac:dyDescent="0.25">
      <c r="A202" s="756"/>
      <c r="B202" s="756"/>
      <c r="C202" s="756"/>
      <c r="D202" s="756"/>
      <c r="E202" s="756"/>
      <c r="F202" s="756"/>
      <c r="G202" s="756"/>
      <c r="H202" s="756"/>
      <c r="I202" s="756"/>
      <c r="J202" s="756"/>
      <c r="K202" s="756"/>
      <c r="L202" s="756"/>
      <c r="M202" s="756"/>
      <c r="N202" s="756"/>
    </row>
    <row r="203" spans="1:14" x14ac:dyDescent="0.25">
      <c r="A203" s="756"/>
      <c r="B203" s="756"/>
      <c r="C203" s="756"/>
      <c r="D203" s="756"/>
      <c r="E203" s="756"/>
      <c r="F203" s="756"/>
      <c r="G203" s="756"/>
      <c r="H203" s="756"/>
      <c r="I203" s="756"/>
      <c r="J203" s="756"/>
      <c r="K203" s="756"/>
      <c r="L203" s="756"/>
      <c r="M203" s="756"/>
      <c r="N203" s="756"/>
    </row>
    <row r="204" spans="1:14" x14ac:dyDescent="0.25">
      <c r="A204" s="756"/>
      <c r="B204" s="756"/>
      <c r="C204" s="756"/>
      <c r="D204" s="756"/>
      <c r="E204" s="756"/>
      <c r="F204" s="756"/>
      <c r="G204" s="756"/>
      <c r="H204" s="756"/>
      <c r="I204" s="756"/>
      <c r="J204" s="756"/>
      <c r="K204" s="756"/>
      <c r="L204" s="756"/>
      <c r="M204" s="756"/>
      <c r="N204" s="756"/>
    </row>
    <row r="205" spans="1:14" x14ac:dyDescent="0.25">
      <c r="A205" s="756"/>
      <c r="B205" s="756"/>
      <c r="C205" s="756"/>
      <c r="D205" s="756"/>
      <c r="E205" s="756"/>
      <c r="F205" s="756"/>
      <c r="G205" s="756"/>
      <c r="H205" s="756"/>
      <c r="I205" s="756"/>
      <c r="J205" s="756"/>
      <c r="K205" s="756"/>
      <c r="L205" s="756"/>
      <c r="M205" s="756"/>
      <c r="N205" s="756"/>
    </row>
    <row r="206" spans="1:14" x14ac:dyDescent="0.25">
      <c r="A206" s="756"/>
      <c r="B206" s="756"/>
      <c r="C206" s="756"/>
      <c r="D206" s="756"/>
      <c r="E206" s="756"/>
      <c r="F206" s="756"/>
      <c r="G206" s="756"/>
      <c r="H206" s="756"/>
      <c r="I206" s="756"/>
      <c r="J206" s="756"/>
      <c r="K206" s="756"/>
      <c r="L206" s="756"/>
      <c r="M206" s="756"/>
      <c r="N206" s="756"/>
    </row>
    <row r="207" spans="1:14" x14ac:dyDescent="0.25">
      <c r="A207" s="756"/>
      <c r="B207" s="756"/>
      <c r="C207" s="756"/>
      <c r="D207" s="756"/>
      <c r="E207" s="756"/>
      <c r="F207" s="756"/>
      <c r="G207" s="756"/>
      <c r="H207" s="756"/>
      <c r="I207" s="756"/>
      <c r="J207" s="756"/>
      <c r="K207" s="756"/>
      <c r="L207" s="756"/>
      <c r="M207" s="756"/>
      <c r="N207" s="756"/>
    </row>
    <row r="208" spans="1:14" x14ac:dyDescent="0.25">
      <c r="A208" s="756"/>
      <c r="B208" s="756"/>
      <c r="C208" s="756"/>
      <c r="D208" s="756"/>
      <c r="E208" s="756"/>
      <c r="F208" s="756"/>
      <c r="G208" s="756"/>
      <c r="H208" s="756"/>
      <c r="I208" s="756"/>
      <c r="J208" s="756"/>
      <c r="K208" s="756"/>
      <c r="L208" s="756"/>
      <c r="M208" s="756"/>
      <c r="N208" s="756"/>
    </row>
    <row r="209" spans="1:14" x14ac:dyDescent="0.25">
      <c r="A209" s="756"/>
      <c r="B209" s="756"/>
      <c r="C209" s="756"/>
      <c r="D209" s="756"/>
      <c r="E209" s="756"/>
      <c r="F209" s="756"/>
      <c r="G209" s="756"/>
      <c r="H209" s="756"/>
      <c r="I209" s="756"/>
      <c r="J209" s="757"/>
      <c r="K209" s="757"/>
      <c r="L209" s="757"/>
      <c r="M209" s="757"/>
      <c r="N209" s="757"/>
    </row>
    <row r="210" spans="1:14" x14ac:dyDescent="0.25">
      <c r="A210" s="756"/>
      <c r="B210" s="756"/>
      <c r="C210" s="756"/>
      <c r="D210" s="756"/>
      <c r="E210" s="756"/>
      <c r="F210" s="756"/>
      <c r="G210" s="756"/>
      <c r="H210" s="756"/>
      <c r="I210" s="756"/>
    </row>
    <row r="211" spans="1:14" x14ac:dyDescent="0.25">
      <c r="A211" s="756"/>
      <c r="B211" s="756"/>
      <c r="C211" s="756"/>
      <c r="D211" s="756"/>
      <c r="E211" s="756"/>
      <c r="F211" s="756"/>
      <c r="G211" s="756"/>
      <c r="H211" s="756"/>
      <c r="I211" s="756"/>
    </row>
    <row r="212" spans="1:14" x14ac:dyDescent="0.25">
      <c r="A212" s="756"/>
      <c r="B212" s="756"/>
      <c r="C212" s="756"/>
      <c r="D212" s="756"/>
      <c r="E212" s="756"/>
      <c r="F212" s="756"/>
      <c r="G212" s="756"/>
      <c r="H212" s="756"/>
      <c r="I212" s="756"/>
    </row>
    <row r="213" spans="1:14" x14ac:dyDescent="0.25">
      <c r="A213" s="756"/>
      <c r="B213" s="756"/>
      <c r="C213" s="756"/>
      <c r="D213" s="756"/>
      <c r="E213" s="756"/>
      <c r="F213" s="756"/>
      <c r="G213" s="756"/>
      <c r="H213" s="756"/>
      <c r="I213" s="756"/>
    </row>
    <row r="214" spans="1:14" x14ac:dyDescent="0.25">
      <c r="A214" s="756"/>
      <c r="B214" s="756"/>
      <c r="C214" s="756"/>
      <c r="D214" s="756"/>
      <c r="E214" s="756"/>
      <c r="F214" s="756"/>
      <c r="G214" s="756"/>
      <c r="H214" s="756"/>
      <c r="I214" s="756"/>
    </row>
    <row r="215" spans="1:14" x14ac:dyDescent="0.25">
      <c r="A215" s="756"/>
      <c r="B215" s="756"/>
      <c r="C215" s="756"/>
      <c r="D215" s="756"/>
      <c r="E215" s="756"/>
      <c r="F215" s="756"/>
      <c r="G215" s="756"/>
      <c r="H215" s="756"/>
      <c r="I215" s="756"/>
    </row>
    <row r="216" spans="1:14" x14ac:dyDescent="0.25">
      <c r="A216" s="756"/>
      <c r="B216" s="756"/>
      <c r="C216" s="756"/>
      <c r="D216" s="756"/>
      <c r="E216" s="756"/>
      <c r="F216" s="756"/>
      <c r="G216" s="756"/>
      <c r="H216" s="756"/>
      <c r="I216" s="756"/>
    </row>
    <row r="217" spans="1:14" x14ac:dyDescent="0.25">
      <c r="A217" s="756"/>
      <c r="B217" s="756"/>
      <c r="C217" s="756"/>
      <c r="D217" s="756"/>
      <c r="E217" s="756"/>
      <c r="F217" s="756"/>
      <c r="G217" s="756"/>
      <c r="H217" s="756"/>
      <c r="I217" s="756"/>
    </row>
    <row r="218" spans="1:14" x14ac:dyDescent="0.25">
      <c r="A218" s="756"/>
      <c r="B218" s="756"/>
      <c r="C218" s="756"/>
      <c r="D218" s="756"/>
      <c r="E218" s="756"/>
      <c r="F218" s="756"/>
      <c r="G218" s="756"/>
      <c r="H218" s="756"/>
      <c r="I218" s="756"/>
    </row>
    <row r="219" spans="1:14" x14ac:dyDescent="0.25">
      <c r="A219" s="756"/>
      <c r="B219" s="756"/>
      <c r="C219" s="756"/>
      <c r="D219" s="756"/>
      <c r="E219" s="756"/>
      <c r="F219" s="756"/>
      <c r="G219" s="756"/>
      <c r="H219" s="756"/>
      <c r="I219" s="756"/>
    </row>
    <row r="220" spans="1:14" x14ac:dyDescent="0.25">
      <c r="A220" s="756"/>
      <c r="B220" s="756"/>
      <c r="C220" s="756"/>
      <c r="D220" s="756"/>
      <c r="E220" s="756"/>
      <c r="F220" s="756"/>
      <c r="G220" s="756"/>
      <c r="H220" s="756"/>
      <c r="I220" s="756"/>
    </row>
    <row r="221" spans="1:14" x14ac:dyDescent="0.25">
      <c r="A221" s="756"/>
      <c r="B221" s="756"/>
      <c r="C221" s="756"/>
      <c r="D221" s="756"/>
      <c r="E221" s="756"/>
      <c r="F221" s="756"/>
      <c r="G221" s="756"/>
      <c r="H221" s="756"/>
      <c r="I221" s="756"/>
    </row>
    <row r="222" spans="1:14" x14ac:dyDescent="0.25">
      <c r="A222" s="756"/>
      <c r="B222" s="756"/>
      <c r="C222" s="756"/>
      <c r="D222" s="756"/>
      <c r="E222" s="756"/>
      <c r="F222" s="756"/>
      <c r="G222" s="756"/>
      <c r="H222" s="756"/>
      <c r="I222" s="756"/>
    </row>
    <row r="223" spans="1:14" x14ac:dyDescent="0.25">
      <c r="A223" s="756"/>
      <c r="B223" s="756"/>
      <c r="C223" s="756"/>
      <c r="D223" s="756"/>
      <c r="E223" s="756"/>
      <c r="F223" s="756"/>
      <c r="G223" s="756"/>
      <c r="H223" s="756"/>
      <c r="I223" s="756"/>
    </row>
    <row r="224" spans="1:14" x14ac:dyDescent="0.25">
      <c r="A224" s="756"/>
      <c r="B224" s="756"/>
      <c r="C224" s="756"/>
      <c r="D224" s="756"/>
      <c r="E224" s="756"/>
      <c r="F224" s="756"/>
      <c r="G224" s="756"/>
      <c r="H224" s="756"/>
      <c r="I224" s="756"/>
    </row>
    <row r="225" spans="1:9" x14ac:dyDescent="0.25">
      <c r="A225" s="756"/>
      <c r="B225" s="756"/>
      <c r="C225" s="756"/>
      <c r="D225" s="756"/>
      <c r="E225" s="756"/>
      <c r="F225" s="756"/>
      <c r="G225" s="756"/>
      <c r="H225" s="756"/>
      <c r="I225" s="756"/>
    </row>
    <row r="226" spans="1:9" x14ac:dyDescent="0.25">
      <c r="A226" s="756"/>
      <c r="B226" s="756"/>
      <c r="C226" s="756"/>
      <c r="D226" s="756"/>
      <c r="E226" s="756"/>
      <c r="F226" s="756"/>
      <c r="G226" s="756"/>
      <c r="H226" s="756"/>
      <c r="I226" s="756"/>
    </row>
    <row r="227" spans="1:9" x14ac:dyDescent="0.25">
      <c r="A227" s="756"/>
      <c r="B227" s="756"/>
      <c r="C227" s="756"/>
      <c r="D227" s="756"/>
      <c r="E227" s="756"/>
      <c r="F227" s="756"/>
      <c r="G227" s="756"/>
      <c r="H227" s="756"/>
      <c r="I227" s="756"/>
    </row>
    <row r="228" spans="1:9" x14ac:dyDescent="0.25">
      <c r="A228" s="756"/>
      <c r="B228" s="756"/>
      <c r="C228" s="756"/>
      <c r="D228" s="756"/>
      <c r="E228" s="756"/>
      <c r="F228" s="756"/>
      <c r="G228" s="756"/>
      <c r="H228" s="756"/>
      <c r="I228" s="756"/>
    </row>
    <row r="229" spans="1:9" x14ac:dyDescent="0.25">
      <c r="A229" s="756"/>
      <c r="B229" s="756"/>
      <c r="C229" s="756"/>
      <c r="D229" s="756"/>
      <c r="E229" s="756"/>
      <c r="F229" s="756"/>
      <c r="G229" s="756"/>
      <c r="H229" s="756"/>
      <c r="I229" s="756"/>
    </row>
    <row r="230" spans="1:9" x14ac:dyDescent="0.25">
      <c r="A230" s="756"/>
      <c r="B230" s="756"/>
      <c r="C230" s="756"/>
      <c r="D230" s="756"/>
      <c r="E230" s="756"/>
      <c r="F230" s="756"/>
      <c r="G230" s="756"/>
      <c r="H230" s="756"/>
      <c r="I230" s="756"/>
    </row>
    <row r="231" spans="1:9" x14ac:dyDescent="0.25">
      <c r="A231" s="756"/>
      <c r="B231" s="756"/>
      <c r="C231" s="756"/>
      <c r="D231" s="756"/>
      <c r="E231" s="756"/>
      <c r="F231" s="756"/>
      <c r="G231" s="756"/>
      <c r="H231" s="756"/>
      <c r="I231" s="756"/>
    </row>
    <row r="232" spans="1:9" x14ac:dyDescent="0.25">
      <c r="A232" s="756"/>
      <c r="B232" s="756"/>
      <c r="C232" s="756"/>
      <c r="D232" s="756"/>
      <c r="E232" s="756"/>
      <c r="F232" s="756"/>
      <c r="G232" s="756"/>
      <c r="H232" s="756"/>
      <c r="I232" s="756"/>
    </row>
    <row r="233" spans="1:9" x14ac:dyDescent="0.25">
      <c r="A233" s="756"/>
      <c r="B233" s="756"/>
      <c r="C233" s="756"/>
      <c r="D233" s="756"/>
      <c r="E233" s="756"/>
      <c r="F233" s="756"/>
      <c r="G233" s="756"/>
      <c r="H233" s="756"/>
      <c r="I233" s="756"/>
    </row>
    <row r="234" spans="1:9" x14ac:dyDescent="0.25">
      <c r="A234" s="756"/>
      <c r="B234" s="756"/>
      <c r="C234" s="756"/>
      <c r="D234" s="756"/>
      <c r="E234" s="756"/>
      <c r="F234" s="756"/>
      <c r="G234" s="756"/>
      <c r="H234" s="756"/>
      <c r="I234" s="756"/>
    </row>
    <row r="235" spans="1:9" x14ac:dyDescent="0.25">
      <c r="A235" s="756"/>
      <c r="B235" s="756"/>
      <c r="C235" s="756"/>
      <c r="D235" s="756"/>
      <c r="E235" s="756"/>
      <c r="F235" s="756"/>
      <c r="G235" s="756"/>
      <c r="H235" s="756"/>
      <c r="I235" s="756"/>
    </row>
    <row r="236" spans="1:9" x14ac:dyDescent="0.25">
      <c r="A236" s="756"/>
      <c r="B236" s="756"/>
      <c r="C236" s="756"/>
      <c r="D236" s="756"/>
      <c r="E236" s="756"/>
      <c r="F236" s="756"/>
      <c r="G236" s="756"/>
      <c r="H236" s="756"/>
      <c r="I236" s="756"/>
    </row>
    <row r="237" spans="1:9" x14ac:dyDescent="0.25">
      <c r="A237" s="756"/>
      <c r="B237" s="756"/>
      <c r="C237" s="756"/>
      <c r="D237" s="756"/>
      <c r="E237" s="756"/>
      <c r="F237" s="756"/>
      <c r="G237" s="756"/>
      <c r="H237" s="756"/>
      <c r="I237" s="756"/>
    </row>
    <row r="238" spans="1:9" x14ac:dyDescent="0.25">
      <c r="A238" s="756"/>
      <c r="B238" s="756"/>
      <c r="C238" s="756"/>
      <c r="D238" s="756"/>
      <c r="E238" s="756"/>
      <c r="F238" s="756"/>
      <c r="G238" s="756"/>
      <c r="H238" s="756"/>
      <c r="I238" s="756"/>
    </row>
    <row r="239" spans="1:9" x14ac:dyDescent="0.25">
      <c r="A239" s="756"/>
      <c r="B239" s="756"/>
      <c r="C239" s="756"/>
      <c r="D239" s="756"/>
      <c r="E239" s="756"/>
      <c r="F239" s="756"/>
      <c r="G239" s="756"/>
      <c r="H239" s="756"/>
      <c r="I239" s="756"/>
    </row>
    <row r="240" spans="1:9" x14ac:dyDescent="0.25">
      <c r="A240" s="756"/>
      <c r="B240" s="756"/>
      <c r="C240" s="756"/>
      <c r="D240" s="756"/>
      <c r="E240" s="756"/>
      <c r="F240" s="756"/>
      <c r="G240" s="756"/>
      <c r="H240" s="756"/>
      <c r="I240" s="756"/>
    </row>
    <row r="241" spans="1:9" x14ac:dyDescent="0.25">
      <c r="A241" s="756"/>
      <c r="B241" s="756"/>
      <c r="C241" s="756"/>
      <c r="D241" s="756"/>
      <c r="E241" s="756"/>
      <c r="F241" s="756"/>
      <c r="G241" s="756"/>
      <c r="H241" s="756"/>
      <c r="I241" s="756"/>
    </row>
    <row r="242" spans="1:9" x14ac:dyDescent="0.25">
      <c r="A242" s="756"/>
      <c r="B242" s="756"/>
      <c r="C242" s="756"/>
      <c r="D242" s="756"/>
      <c r="E242" s="756"/>
      <c r="F242" s="756"/>
      <c r="G242" s="756"/>
      <c r="H242" s="756"/>
      <c r="I242" s="756"/>
    </row>
    <row r="243" spans="1:9" x14ac:dyDescent="0.25">
      <c r="A243" s="756"/>
      <c r="B243" s="756"/>
      <c r="C243" s="756"/>
      <c r="D243" s="756"/>
      <c r="E243" s="756"/>
      <c r="F243" s="756"/>
      <c r="G243" s="756"/>
      <c r="H243" s="756"/>
      <c r="I243" s="756"/>
    </row>
    <row r="244" spans="1:9" x14ac:dyDescent="0.25">
      <c r="A244" s="756"/>
      <c r="B244" s="756"/>
      <c r="C244" s="756"/>
      <c r="D244" s="756"/>
      <c r="E244" s="756"/>
      <c r="F244" s="756"/>
      <c r="G244" s="756"/>
      <c r="H244" s="756"/>
      <c r="I244" s="756"/>
    </row>
    <row r="245" spans="1:9" x14ac:dyDescent="0.25">
      <c r="A245" s="756"/>
      <c r="B245" s="756"/>
      <c r="C245" s="756"/>
      <c r="D245" s="756"/>
      <c r="E245" s="756"/>
      <c r="F245" s="756"/>
      <c r="G245" s="756"/>
      <c r="H245" s="756"/>
      <c r="I245" s="756"/>
    </row>
    <row r="246" spans="1:9" x14ac:dyDescent="0.25">
      <c r="A246" s="756"/>
      <c r="B246" s="756"/>
      <c r="C246" s="756"/>
      <c r="D246" s="756"/>
      <c r="E246" s="756"/>
      <c r="F246" s="756"/>
      <c r="G246" s="756"/>
      <c r="H246" s="756"/>
      <c r="I246" s="756"/>
    </row>
    <row r="247" spans="1:9" x14ac:dyDescent="0.25">
      <c r="A247" s="756"/>
      <c r="B247" s="756"/>
      <c r="C247" s="756"/>
      <c r="D247" s="756"/>
      <c r="E247" s="756"/>
      <c r="F247" s="756"/>
      <c r="G247" s="756"/>
      <c r="H247" s="756"/>
      <c r="I247" s="756"/>
    </row>
    <row r="248" spans="1:9" x14ac:dyDescent="0.25">
      <c r="A248" s="756"/>
      <c r="B248" s="756"/>
      <c r="C248" s="756"/>
      <c r="D248" s="756"/>
      <c r="E248" s="756"/>
      <c r="F248" s="756"/>
      <c r="G248" s="756"/>
      <c r="H248" s="756"/>
      <c r="I248" s="756"/>
    </row>
    <row r="249" spans="1:9" x14ac:dyDescent="0.25">
      <c r="A249" s="756"/>
      <c r="B249" s="756"/>
      <c r="C249" s="756"/>
      <c r="D249" s="756"/>
      <c r="E249" s="756"/>
      <c r="F249" s="756"/>
      <c r="G249" s="756"/>
      <c r="H249" s="756"/>
      <c r="I249" s="756"/>
    </row>
    <row r="250" spans="1:9" x14ac:dyDescent="0.25">
      <c r="A250" s="756"/>
      <c r="B250" s="756"/>
      <c r="C250" s="756"/>
      <c r="D250" s="756"/>
      <c r="E250" s="756"/>
      <c r="F250" s="756"/>
      <c r="G250" s="756"/>
      <c r="H250" s="756"/>
      <c r="I250" s="756"/>
    </row>
    <row r="251" spans="1:9" x14ac:dyDescent="0.25">
      <c r="A251" s="756"/>
      <c r="B251" s="756"/>
      <c r="C251" s="756"/>
      <c r="D251" s="756"/>
      <c r="E251" s="756"/>
      <c r="F251" s="756"/>
      <c r="G251" s="756"/>
      <c r="H251" s="756"/>
      <c r="I251" s="756"/>
    </row>
    <row r="252" spans="1:9" x14ac:dyDescent="0.25">
      <c r="A252" s="756"/>
      <c r="B252" s="756"/>
      <c r="C252" s="756"/>
      <c r="D252" s="756"/>
      <c r="E252" s="756"/>
      <c r="F252" s="756"/>
      <c r="G252" s="756"/>
      <c r="H252" s="756"/>
      <c r="I252" s="756"/>
    </row>
    <row r="253" spans="1:9" x14ac:dyDescent="0.25">
      <c r="A253" s="756"/>
      <c r="B253" s="756"/>
      <c r="C253" s="756"/>
      <c r="D253" s="756"/>
      <c r="E253" s="756"/>
      <c r="F253" s="756"/>
      <c r="G253" s="756"/>
      <c r="H253" s="756"/>
      <c r="I253" s="756"/>
    </row>
    <row r="254" spans="1:9" x14ac:dyDescent="0.25">
      <c r="A254" s="756"/>
      <c r="B254" s="756"/>
      <c r="C254" s="756"/>
      <c r="D254" s="756"/>
      <c r="E254" s="756"/>
      <c r="F254" s="756"/>
      <c r="G254" s="756"/>
      <c r="H254" s="756"/>
      <c r="I254" s="756"/>
    </row>
    <row r="255" spans="1:9" x14ac:dyDescent="0.25">
      <c r="A255" s="756"/>
      <c r="B255" s="756"/>
      <c r="C255" s="756"/>
      <c r="D255" s="756"/>
      <c r="E255" s="756"/>
      <c r="F255" s="756"/>
      <c r="G255" s="756"/>
      <c r="H255" s="756"/>
      <c r="I255" s="756"/>
    </row>
    <row r="256" spans="1:9" x14ac:dyDescent="0.25">
      <c r="A256" s="756"/>
      <c r="B256" s="756"/>
      <c r="C256" s="756"/>
      <c r="D256" s="756"/>
      <c r="E256" s="756"/>
      <c r="F256" s="756"/>
      <c r="G256" s="756"/>
      <c r="H256" s="756"/>
      <c r="I256" s="756"/>
    </row>
    <row r="257" spans="1:9" x14ac:dyDescent="0.25">
      <c r="A257" s="756"/>
      <c r="B257" s="756"/>
      <c r="C257" s="756"/>
      <c r="D257" s="756"/>
      <c r="E257" s="756"/>
      <c r="F257" s="756"/>
      <c r="G257" s="756"/>
      <c r="H257" s="756"/>
      <c r="I257" s="756"/>
    </row>
    <row r="258" spans="1:9" x14ac:dyDescent="0.25">
      <c r="A258" s="756"/>
      <c r="B258" s="756"/>
      <c r="C258" s="756"/>
      <c r="D258" s="756"/>
      <c r="E258" s="756"/>
      <c r="F258" s="756"/>
      <c r="G258" s="756"/>
      <c r="H258" s="756"/>
      <c r="I258" s="756"/>
    </row>
    <row r="259" spans="1:9" x14ac:dyDescent="0.25">
      <c r="A259" s="756"/>
      <c r="B259" s="756"/>
      <c r="C259" s="756"/>
      <c r="D259" s="756"/>
      <c r="E259" s="756"/>
      <c r="F259" s="756"/>
      <c r="G259" s="756"/>
      <c r="H259" s="756"/>
      <c r="I259" s="756"/>
    </row>
    <row r="260" spans="1:9" x14ac:dyDescent="0.25">
      <c r="A260" s="756"/>
      <c r="B260" s="756"/>
      <c r="C260" s="756"/>
      <c r="D260" s="756"/>
      <c r="E260" s="756"/>
      <c r="F260" s="756"/>
      <c r="G260" s="756"/>
      <c r="H260" s="756"/>
      <c r="I260" s="756"/>
    </row>
    <row r="261" spans="1:9" x14ac:dyDescent="0.25">
      <c r="A261" s="756"/>
      <c r="B261" s="756"/>
      <c r="C261" s="756"/>
      <c r="D261" s="756"/>
      <c r="E261" s="756"/>
      <c r="F261" s="756"/>
      <c r="G261" s="756"/>
      <c r="H261" s="756"/>
      <c r="I261" s="756"/>
    </row>
    <row r="262" spans="1:9" x14ac:dyDescent="0.25">
      <c r="A262" s="756"/>
      <c r="B262" s="756"/>
      <c r="C262" s="756"/>
      <c r="D262" s="756"/>
      <c r="E262" s="756"/>
      <c r="F262" s="756"/>
      <c r="G262" s="756"/>
      <c r="H262" s="756"/>
      <c r="I262" s="756"/>
    </row>
    <row r="263" spans="1:9" x14ac:dyDescent="0.25">
      <c r="A263" s="756"/>
      <c r="B263" s="756"/>
      <c r="C263" s="756"/>
      <c r="D263" s="756"/>
      <c r="E263" s="756"/>
      <c r="F263" s="756"/>
      <c r="G263" s="756"/>
      <c r="H263" s="756"/>
      <c r="I263" s="756"/>
    </row>
    <row r="264" spans="1:9" x14ac:dyDescent="0.25">
      <c r="A264" s="756"/>
      <c r="B264" s="756"/>
      <c r="C264" s="756"/>
      <c r="D264" s="756"/>
      <c r="E264" s="756"/>
      <c r="F264" s="756"/>
      <c r="G264" s="756"/>
      <c r="H264" s="756"/>
      <c r="I264" s="756"/>
    </row>
    <row r="265" spans="1:9" x14ac:dyDescent="0.25">
      <c r="A265" s="756"/>
      <c r="B265" s="756"/>
      <c r="C265" s="756"/>
      <c r="D265" s="756"/>
      <c r="E265" s="756"/>
      <c r="F265" s="756"/>
      <c r="G265" s="756"/>
      <c r="H265" s="756"/>
      <c r="I265" s="756"/>
    </row>
    <row r="266" spans="1:9" x14ac:dyDescent="0.25">
      <c r="A266" s="756"/>
      <c r="B266" s="756"/>
      <c r="C266" s="756"/>
      <c r="D266" s="756"/>
      <c r="E266" s="756"/>
      <c r="F266" s="756"/>
      <c r="G266" s="756"/>
      <c r="H266" s="756"/>
      <c r="I266" s="756"/>
    </row>
    <row r="267" spans="1:9" x14ac:dyDescent="0.25">
      <c r="A267" s="756"/>
      <c r="B267" s="756"/>
      <c r="C267" s="756"/>
      <c r="D267" s="756"/>
      <c r="E267" s="756"/>
      <c r="F267" s="756"/>
      <c r="G267" s="756"/>
      <c r="H267" s="756"/>
      <c r="I267" s="756"/>
    </row>
    <row r="268" spans="1:9" x14ac:dyDescent="0.25">
      <c r="A268" s="756"/>
      <c r="B268" s="756"/>
      <c r="C268" s="756"/>
      <c r="D268" s="756"/>
      <c r="E268" s="756"/>
      <c r="F268" s="756"/>
      <c r="G268" s="756"/>
      <c r="H268" s="756"/>
      <c r="I268" s="756"/>
    </row>
    <row r="269" spans="1:9" x14ac:dyDescent="0.25">
      <c r="A269" s="756"/>
      <c r="B269" s="756"/>
      <c r="C269" s="756"/>
      <c r="D269" s="756"/>
      <c r="E269" s="756"/>
      <c r="F269" s="756"/>
      <c r="G269" s="756"/>
      <c r="H269" s="756"/>
      <c r="I269" s="756"/>
    </row>
    <row r="270" spans="1:9" x14ac:dyDescent="0.25">
      <c r="A270" s="756"/>
      <c r="B270" s="756"/>
      <c r="C270" s="756"/>
      <c r="D270" s="756"/>
      <c r="E270" s="756"/>
      <c r="F270" s="756"/>
      <c r="G270" s="756"/>
      <c r="H270" s="756"/>
      <c r="I270" s="756"/>
    </row>
    <row r="271" spans="1:9" x14ac:dyDescent="0.25">
      <c r="A271" s="756"/>
      <c r="B271" s="756"/>
      <c r="C271" s="756"/>
      <c r="D271" s="756"/>
      <c r="E271" s="756"/>
      <c r="F271" s="756"/>
      <c r="G271" s="756"/>
      <c r="H271" s="756"/>
      <c r="I271" s="756"/>
    </row>
    <row r="272" spans="1:9" x14ac:dyDescent="0.25">
      <c r="A272" s="756"/>
      <c r="B272" s="756"/>
      <c r="C272" s="756"/>
      <c r="D272" s="756"/>
      <c r="E272" s="756"/>
      <c r="F272" s="756"/>
      <c r="G272" s="756"/>
      <c r="H272" s="756"/>
      <c r="I272" s="756"/>
    </row>
    <row r="273" spans="1:9" x14ac:dyDescent="0.25">
      <c r="A273" s="756"/>
      <c r="B273" s="756"/>
      <c r="C273" s="756"/>
      <c r="D273" s="756"/>
      <c r="E273" s="756"/>
      <c r="F273" s="756"/>
      <c r="G273" s="756"/>
      <c r="H273" s="756"/>
      <c r="I273" s="756"/>
    </row>
    <row r="274" spans="1:9" x14ac:dyDescent="0.25">
      <c r="A274" s="756"/>
      <c r="B274" s="756"/>
      <c r="C274" s="756"/>
      <c r="D274" s="756"/>
      <c r="E274" s="756"/>
      <c r="F274" s="756"/>
      <c r="G274" s="756"/>
      <c r="H274" s="756"/>
      <c r="I274" s="756"/>
    </row>
    <row r="275" spans="1:9" x14ac:dyDescent="0.25">
      <c r="A275" s="756"/>
      <c r="B275" s="756"/>
      <c r="C275" s="756"/>
      <c r="D275" s="756"/>
      <c r="E275" s="756"/>
      <c r="F275" s="756"/>
      <c r="G275" s="756"/>
      <c r="H275" s="756"/>
      <c r="I275" s="756"/>
    </row>
    <row r="276" spans="1:9" x14ac:dyDescent="0.25">
      <c r="A276" s="756"/>
      <c r="B276" s="756"/>
      <c r="C276" s="756"/>
      <c r="D276" s="756"/>
      <c r="E276" s="756"/>
      <c r="F276" s="756"/>
      <c r="G276" s="756"/>
      <c r="H276" s="756"/>
      <c r="I276" s="756"/>
    </row>
    <row r="277" spans="1:9" x14ac:dyDescent="0.25">
      <c r="A277" s="756"/>
      <c r="B277" s="756"/>
      <c r="C277" s="756"/>
      <c r="D277" s="756"/>
      <c r="E277" s="756"/>
      <c r="F277" s="756"/>
      <c r="G277" s="756"/>
      <c r="H277" s="756"/>
      <c r="I277" s="756"/>
    </row>
    <row r="278" spans="1:9" x14ac:dyDescent="0.25">
      <c r="A278" s="756"/>
      <c r="B278" s="756"/>
      <c r="C278" s="756"/>
      <c r="D278" s="756"/>
      <c r="E278" s="756"/>
      <c r="F278" s="756"/>
      <c r="G278" s="756"/>
      <c r="H278" s="756"/>
      <c r="I278" s="756"/>
    </row>
    <row r="279" spans="1:9" x14ac:dyDescent="0.25">
      <c r="A279" s="756"/>
      <c r="B279" s="756"/>
      <c r="C279" s="756"/>
      <c r="D279" s="756"/>
      <c r="E279" s="756"/>
      <c r="F279" s="756"/>
      <c r="G279" s="756"/>
      <c r="H279" s="756"/>
      <c r="I279" s="756"/>
    </row>
    <row r="280" spans="1:9" x14ac:dyDescent="0.25">
      <c r="A280" s="756"/>
      <c r="B280" s="756"/>
      <c r="C280" s="756"/>
      <c r="D280" s="756"/>
      <c r="E280" s="756"/>
      <c r="F280" s="756"/>
      <c r="G280" s="756"/>
      <c r="H280" s="756"/>
      <c r="I280" s="756"/>
    </row>
  </sheetData>
  <hyperlinks>
    <hyperlink ref="B4" location="SU_A0600" display="SU_A0600" xr:uid="{00000000-0004-0000-5900-000000000000}"/>
    <hyperlink ref="F2" location="SU_A0600_BOM" display="Back to BOM" xr:uid="{00000000-0004-0000-59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8" fitToHeight="99" orientation="landscape" r:id="rId1"/>
  <headerFooter>
    <oddFooter>Page &amp;P</oddFooter>
  </headerFooter>
  <drawing r:id="rId2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A00-000000000000}">
  <sheetPr>
    <tabColor rgb="FFFFFF00"/>
    <pageSetUpPr fitToPage="1"/>
  </sheetPr>
  <dimension ref="A1:O22"/>
  <sheetViews>
    <sheetView zoomScale="70" zoomScaleNormal="70" zoomScalePageLayoutView="70" workbookViewId="0">
      <selection activeCell="E2" sqref="E2"/>
    </sheetView>
  </sheetViews>
  <sheetFormatPr baseColWidth="10" defaultRowHeight="15" x14ac:dyDescent="0.25"/>
  <cols>
    <col min="2" max="2" width="34.7109375" customWidth="1"/>
    <col min="3" max="3" width="27.7109375" customWidth="1"/>
    <col min="7" max="7" width="22.28515625" customWidth="1"/>
    <col min="9" max="9" width="27.28515625" customWidth="1"/>
    <col min="13" max="13" width="13.28515625" customWidth="1"/>
  </cols>
  <sheetData>
    <row r="1" spans="1:15" x14ac:dyDescent="0.25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25">
      <c r="A2" s="758" t="s">
        <v>0</v>
      </c>
      <c r="B2" s="16" t="s">
        <v>37</v>
      </c>
      <c r="C2" s="731"/>
      <c r="D2" s="731"/>
      <c r="E2" s="731"/>
      <c r="F2" s="87" t="s">
        <v>62</v>
      </c>
      <c r="G2" s="731"/>
      <c r="H2" s="731"/>
      <c r="I2" s="731"/>
      <c r="J2" s="759" t="s">
        <v>1</v>
      </c>
      <c r="K2" s="733">
        <v>81</v>
      </c>
      <c r="L2" s="731"/>
      <c r="M2" s="760" t="s">
        <v>16</v>
      </c>
      <c r="N2" s="734">
        <f>SU_06002_m+SU_06002_p</f>
        <v>1.5427786126391492</v>
      </c>
      <c r="O2" s="264"/>
    </row>
    <row r="3" spans="1:15" x14ac:dyDescent="0.25">
      <c r="A3" s="761" t="s">
        <v>3</v>
      </c>
      <c r="B3" s="16" t="str">
        <f>'SU A0600'!B3</f>
        <v>Suspension &amp; Shocks</v>
      </c>
      <c r="C3" s="731"/>
      <c r="D3" s="760" t="s">
        <v>6</v>
      </c>
      <c r="E3" s="731"/>
      <c r="F3" s="731"/>
      <c r="G3" s="731"/>
      <c r="H3" s="731"/>
      <c r="I3" s="731"/>
      <c r="J3" s="731"/>
      <c r="K3" s="731"/>
      <c r="L3" s="731"/>
      <c r="M3" s="762" t="s">
        <v>4</v>
      </c>
      <c r="N3" s="735">
        <v>1</v>
      </c>
      <c r="O3" s="264"/>
    </row>
    <row r="4" spans="1:15" x14ac:dyDescent="0.25">
      <c r="A4" s="761" t="s">
        <v>5</v>
      </c>
      <c r="B4" s="87" t="str">
        <f>'SU A0600'!B4</f>
        <v>Front Bell Crank</v>
      </c>
      <c r="C4" s="731"/>
      <c r="D4" s="762" t="s">
        <v>8</v>
      </c>
      <c r="E4" s="731"/>
      <c r="F4" s="731"/>
      <c r="G4" s="731"/>
      <c r="H4" s="731"/>
      <c r="I4" s="731"/>
      <c r="J4" s="760" t="s">
        <v>6</v>
      </c>
      <c r="K4" s="731"/>
      <c r="L4" s="731"/>
      <c r="M4" s="731"/>
      <c r="N4" s="731"/>
      <c r="O4" s="264"/>
    </row>
    <row r="5" spans="1:15" x14ac:dyDescent="0.25">
      <c r="A5" s="761" t="s">
        <v>15</v>
      </c>
      <c r="B5" s="736" t="s">
        <v>312</v>
      </c>
      <c r="C5" s="731"/>
      <c r="D5" s="762" t="s">
        <v>12</v>
      </c>
      <c r="E5" s="731"/>
      <c r="F5" s="731"/>
      <c r="G5" s="731"/>
      <c r="H5" s="731"/>
      <c r="I5" s="731"/>
      <c r="J5" s="762" t="s">
        <v>8</v>
      </c>
      <c r="K5" s="731"/>
      <c r="L5" s="731"/>
      <c r="M5" s="760" t="s">
        <v>9</v>
      </c>
      <c r="N5" s="734">
        <f>N2*N3</f>
        <v>1.5427786126391492</v>
      </c>
      <c r="O5" s="264"/>
    </row>
    <row r="6" spans="1:15" x14ac:dyDescent="0.25">
      <c r="A6" s="761" t="s">
        <v>7</v>
      </c>
      <c r="B6" s="731" t="s">
        <v>337</v>
      </c>
      <c r="C6" s="731"/>
      <c r="D6" s="731"/>
      <c r="E6" s="731"/>
      <c r="F6" s="731"/>
      <c r="G6" s="731"/>
      <c r="H6" s="731"/>
      <c r="I6" s="731"/>
      <c r="J6" s="762" t="s">
        <v>12</v>
      </c>
      <c r="K6" s="731"/>
      <c r="L6" s="731"/>
      <c r="M6" s="731"/>
      <c r="N6" s="731"/>
      <c r="O6" s="264"/>
    </row>
    <row r="7" spans="1:15" x14ac:dyDescent="0.25">
      <c r="A7" s="761" t="s">
        <v>10</v>
      </c>
      <c r="B7" s="16" t="s">
        <v>11</v>
      </c>
      <c r="C7" s="731"/>
      <c r="D7" s="731"/>
      <c r="E7" s="731"/>
      <c r="F7" s="731"/>
      <c r="G7" s="731"/>
      <c r="H7" s="731"/>
      <c r="I7" s="731"/>
      <c r="J7" s="731"/>
      <c r="K7" s="731"/>
      <c r="L7" s="731"/>
      <c r="M7" s="731"/>
      <c r="N7" s="731"/>
      <c r="O7" s="264"/>
    </row>
    <row r="8" spans="1:15" x14ac:dyDescent="0.25">
      <c r="A8" s="761" t="s">
        <v>13</v>
      </c>
      <c r="B8" s="16"/>
      <c r="C8" s="731"/>
      <c r="D8" s="731"/>
      <c r="E8" s="731"/>
      <c r="F8" s="731"/>
      <c r="G8" s="731"/>
      <c r="H8" s="731"/>
      <c r="I8" s="731"/>
      <c r="J8" s="731"/>
      <c r="K8" s="731"/>
      <c r="L8" s="731"/>
      <c r="M8" s="731"/>
      <c r="N8" s="731"/>
      <c r="O8" s="264"/>
    </row>
    <row r="9" spans="1:15" x14ac:dyDescent="0.25">
      <c r="A9" s="737"/>
      <c r="B9" s="731"/>
      <c r="C9" s="731"/>
      <c r="D9" s="731"/>
      <c r="E9" s="731"/>
      <c r="F9" s="731"/>
      <c r="G9" s="731"/>
      <c r="H9" s="731"/>
      <c r="I9" s="731"/>
      <c r="J9" s="731"/>
      <c r="K9" s="731"/>
      <c r="L9" s="731"/>
      <c r="M9" s="731"/>
      <c r="N9" s="731"/>
      <c r="O9" s="264"/>
    </row>
    <row r="10" spans="1:15" x14ac:dyDescent="0.25">
      <c r="A10" s="763" t="s">
        <v>14</v>
      </c>
      <c r="B10" s="764" t="s">
        <v>19</v>
      </c>
      <c r="C10" s="739" t="s">
        <v>20</v>
      </c>
      <c r="D10" s="739" t="s">
        <v>21</v>
      </c>
      <c r="E10" s="739" t="s">
        <v>22</v>
      </c>
      <c r="F10" s="739" t="s">
        <v>23</v>
      </c>
      <c r="G10" s="739" t="s">
        <v>24</v>
      </c>
      <c r="H10" s="739" t="s">
        <v>25</v>
      </c>
      <c r="I10" s="739" t="s">
        <v>26</v>
      </c>
      <c r="J10" s="739" t="s">
        <v>27</v>
      </c>
      <c r="K10" s="739" t="s">
        <v>28</v>
      </c>
      <c r="L10" s="739" t="s">
        <v>29</v>
      </c>
      <c r="M10" s="739" t="s">
        <v>17</v>
      </c>
      <c r="N10" s="739" t="s">
        <v>18</v>
      </c>
      <c r="O10" s="264"/>
    </row>
    <row r="11" spans="1:15" x14ac:dyDescent="0.25">
      <c r="A11" s="765">
        <v>10</v>
      </c>
      <c r="B11" s="766" t="s">
        <v>301</v>
      </c>
      <c r="C11" s="742" t="s">
        <v>302</v>
      </c>
      <c r="D11" s="743">
        <v>2.25</v>
      </c>
      <c r="E11" s="744">
        <f>J11*K11*L11</f>
        <v>2.4168272284066282E-2</v>
      </c>
      <c r="F11" s="742" t="s">
        <v>141</v>
      </c>
      <c r="G11" s="742"/>
      <c r="H11" s="745"/>
      <c r="I11" s="746" t="s">
        <v>338</v>
      </c>
      <c r="J11" s="746">
        <f>PI()*(7*10^-3)^2</f>
        <v>1.5393804002589989E-4</v>
      </c>
      <c r="K11" s="747">
        <v>0.02</v>
      </c>
      <c r="L11" s="748">
        <v>7850</v>
      </c>
      <c r="M11" s="748">
        <v>1</v>
      </c>
      <c r="N11" s="743">
        <f>D11*E11*M11</f>
        <v>5.4378612639149136E-2</v>
      </c>
      <c r="O11" s="264"/>
    </row>
    <row r="12" spans="1:15" x14ac:dyDescent="0.25">
      <c r="A12" s="749"/>
      <c r="B12" s="750"/>
      <c r="C12" s="750"/>
      <c r="D12" s="750"/>
      <c r="E12" s="750"/>
      <c r="F12" s="750"/>
      <c r="G12" s="750"/>
      <c r="H12" s="750"/>
      <c r="I12" s="750"/>
      <c r="J12" s="750"/>
      <c r="K12" s="750"/>
      <c r="L12" s="750"/>
      <c r="M12" s="751" t="s">
        <v>18</v>
      </c>
      <c r="N12" s="752">
        <f>N11</f>
        <v>5.4378612639149136E-2</v>
      </c>
      <c r="O12" s="264"/>
    </row>
    <row r="13" spans="1:15" x14ac:dyDescent="0.25">
      <c r="A13" s="737"/>
      <c r="B13" s="731"/>
      <c r="C13" s="731"/>
      <c r="D13" s="731"/>
      <c r="E13" s="731"/>
      <c r="F13" s="731"/>
      <c r="G13" s="731"/>
      <c r="H13" s="731"/>
      <c r="I13" s="731"/>
      <c r="J13" s="731"/>
      <c r="K13" s="731"/>
      <c r="L13" s="731"/>
      <c r="M13" s="731"/>
      <c r="N13" s="731"/>
      <c r="O13" s="264"/>
    </row>
    <row r="14" spans="1:15" x14ac:dyDescent="0.25">
      <c r="A14" s="738" t="s">
        <v>14</v>
      </c>
      <c r="B14" s="739" t="s">
        <v>31</v>
      </c>
      <c r="C14" s="739" t="s">
        <v>20</v>
      </c>
      <c r="D14" s="739" t="s">
        <v>21</v>
      </c>
      <c r="E14" s="739" t="s">
        <v>32</v>
      </c>
      <c r="F14" s="739" t="s">
        <v>17</v>
      </c>
      <c r="G14" s="739" t="s">
        <v>33</v>
      </c>
      <c r="H14" s="739" t="s">
        <v>34</v>
      </c>
      <c r="I14" s="739" t="s">
        <v>18</v>
      </c>
      <c r="J14" s="750"/>
      <c r="K14" s="750"/>
      <c r="L14" s="750"/>
      <c r="M14" s="750"/>
      <c r="N14" s="750"/>
      <c r="O14" s="264"/>
    </row>
    <row r="15" spans="1:15" x14ac:dyDescent="0.25">
      <c r="A15" s="740">
        <v>10</v>
      </c>
      <c r="B15" s="742" t="s">
        <v>39</v>
      </c>
      <c r="C15" s="742"/>
      <c r="D15" s="743">
        <v>1.3</v>
      </c>
      <c r="E15" s="742" t="s">
        <v>35</v>
      </c>
      <c r="F15" s="742">
        <v>1</v>
      </c>
      <c r="G15" s="742"/>
      <c r="H15" s="742"/>
      <c r="I15" s="743">
        <v>1.3</v>
      </c>
      <c r="J15" s="731"/>
      <c r="K15" s="731"/>
      <c r="L15" s="731"/>
      <c r="M15" s="731"/>
      <c r="N15" s="731"/>
      <c r="O15" s="264"/>
    </row>
    <row r="16" spans="1:15" x14ac:dyDescent="0.25">
      <c r="A16" s="740">
        <v>20</v>
      </c>
      <c r="B16" s="742" t="s">
        <v>334</v>
      </c>
      <c r="C16" s="742" t="s">
        <v>335</v>
      </c>
      <c r="D16" s="743">
        <v>0.04</v>
      </c>
      <c r="E16" s="742" t="s">
        <v>93</v>
      </c>
      <c r="F16" s="742">
        <v>1.57</v>
      </c>
      <c r="G16" s="742" t="s">
        <v>339</v>
      </c>
      <c r="H16" s="742">
        <v>3</v>
      </c>
      <c r="I16" s="743">
        <f>D16*F16*H16</f>
        <v>0.18840000000000001</v>
      </c>
      <c r="J16" s="731"/>
      <c r="K16" s="731"/>
      <c r="L16" s="731"/>
      <c r="M16" s="731"/>
      <c r="N16" s="731"/>
      <c r="O16" s="264"/>
    </row>
    <row r="17" spans="1:15" x14ac:dyDescent="0.25">
      <c r="A17" s="749"/>
      <c r="B17" s="750"/>
      <c r="C17" s="750"/>
      <c r="D17" s="750"/>
      <c r="E17" s="750"/>
      <c r="F17" s="750"/>
      <c r="G17" s="750"/>
      <c r="H17" s="751" t="s">
        <v>18</v>
      </c>
      <c r="I17" s="753">
        <f>I15+I16</f>
        <v>1.4883999999999999</v>
      </c>
      <c r="J17" s="750"/>
      <c r="K17" s="750"/>
      <c r="L17" s="750"/>
      <c r="M17" s="750"/>
      <c r="N17" s="750"/>
      <c r="O17" s="264"/>
    </row>
    <row r="18" spans="1:15" x14ac:dyDescent="0.25">
      <c r="A18" s="737"/>
      <c r="B18" s="731"/>
      <c r="C18" s="731"/>
      <c r="D18" s="731"/>
      <c r="E18" s="731"/>
      <c r="F18" s="731"/>
      <c r="G18" s="731"/>
      <c r="H18" s="733"/>
      <c r="I18" s="734"/>
      <c r="J18" s="731"/>
      <c r="K18" s="731"/>
      <c r="L18" s="731"/>
      <c r="M18" s="731"/>
      <c r="N18" s="731"/>
      <c r="O18" s="264"/>
    </row>
    <row r="19" spans="1:15" x14ac:dyDescent="0.25">
      <c r="A19" s="737"/>
      <c r="B19" s="731"/>
      <c r="C19" s="731"/>
      <c r="D19" s="731"/>
      <c r="E19" s="731"/>
      <c r="F19" s="731"/>
      <c r="G19" s="731"/>
      <c r="H19" s="731"/>
      <c r="I19" s="731"/>
      <c r="J19" s="731"/>
      <c r="K19" s="731"/>
      <c r="L19" s="731"/>
      <c r="M19" s="731"/>
      <c r="N19" s="731"/>
      <c r="O19" s="264"/>
    </row>
    <row r="20" spans="1:15" x14ac:dyDescent="0.25">
      <c r="A20" s="705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264"/>
    </row>
    <row r="21" spans="1:15" x14ac:dyDescent="0.25">
      <c r="A21" s="705"/>
      <c r="B21" s="56"/>
      <c r="C21" s="56"/>
      <c r="D21" s="56"/>
      <c r="E21" s="56"/>
      <c r="F21" s="56"/>
      <c r="G21" s="56"/>
      <c r="H21" s="56"/>
      <c r="I21" s="56"/>
      <c r="J21" s="56"/>
      <c r="K21" s="56"/>
      <c r="L21" s="56"/>
      <c r="M21" s="56"/>
      <c r="N21" s="56"/>
      <c r="O21" s="264"/>
    </row>
    <row r="22" spans="1:15" ht="15.75" thickBot="1" x14ac:dyDescent="0.3">
      <c r="A22" s="284"/>
      <c r="B22" s="285"/>
      <c r="C22" s="285"/>
      <c r="D22" s="285"/>
      <c r="E22" s="285"/>
      <c r="F22" s="285"/>
      <c r="G22" s="285"/>
      <c r="H22" s="285"/>
      <c r="I22" s="285"/>
      <c r="J22" s="285"/>
      <c r="K22" s="285"/>
      <c r="L22" s="285"/>
      <c r="M22" s="285"/>
      <c r="N22" s="285"/>
      <c r="O22" s="286"/>
    </row>
  </sheetData>
  <hyperlinks>
    <hyperlink ref="F2" location="SU_A0600_BOM" display="Back to BOM" xr:uid="{00000000-0004-0000-5A00-000000000000}"/>
    <hyperlink ref="B4" location="SU_A0600" display="SU_A0600" xr:uid="{00000000-0004-0000-5A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9" fitToHeight="99" orientation="landscape" r:id="rId1"/>
  <headerFooter>
    <oddFooter>Page &amp;P</oddFooter>
  </headerFooter>
  <drawing r:id="rId2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B00-000000000000}">
  <sheetPr>
    <tabColor rgb="FFFFFF00"/>
    <pageSetUpPr fitToPage="1"/>
  </sheetPr>
  <dimension ref="A1:P18"/>
  <sheetViews>
    <sheetView zoomScale="70" zoomScaleNormal="70" zoomScalePageLayoutView="70" workbookViewId="0">
      <selection activeCell="E2" sqref="E2"/>
    </sheetView>
  </sheetViews>
  <sheetFormatPr baseColWidth="10" defaultRowHeight="15" x14ac:dyDescent="0.25"/>
  <cols>
    <col min="1" max="1" width="11.5703125" customWidth="1"/>
    <col min="2" max="2" width="34.85546875" customWidth="1"/>
    <col min="3" max="3" width="36.42578125" customWidth="1"/>
    <col min="5" max="5" width="13.28515625" bestFit="1" customWidth="1"/>
    <col min="7" max="7" width="19" customWidth="1"/>
    <col min="9" max="9" width="27.42578125" customWidth="1"/>
  </cols>
  <sheetData>
    <row r="1" spans="1:16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SU_06003_m+SU_06003_p</f>
        <v>0.88140624999999995</v>
      </c>
      <c r="O2" s="62"/>
    </row>
    <row r="3" spans="1:16" x14ac:dyDescent="0.25">
      <c r="A3" s="99" t="s">
        <v>3</v>
      </c>
      <c r="B3" s="16" t="str">
        <f>'SU A0600'!B3</f>
        <v>Suspension &amp; Shocks</v>
      </c>
      <c r="C3" s="56"/>
      <c r="D3" s="99" t="s">
        <v>6</v>
      </c>
      <c r="E3" s="275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6" x14ac:dyDescent="0.25">
      <c r="A4" s="99" t="s">
        <v>5</v>
      </c>
      <c r="B4" s="87" t="str">
        <f>'SU A0600'!B4</f>
        <v>Front Bell Crank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25">
      <c r="A5" s="99" t="s">
        <v>15</v>
      </c>
      <c r="B5" s="28" t="s">
        <v>340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1.7628124999999999</v>
      </c>
      <c r="O5" s="62"/>
    </row>
    <row r="6" spans="1:16" x14ac:dyDescent="0.25">
      <c r="A6" s="99" t="s">
        <v>7</v>
      </c>
      <c r="B6" s="731" t="s">
        <v>341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25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6" x14ac:dyDescent="0.25">
      <c r="A11" s="767">
        <v>10</v>
      </c>
      <c r="B11" s="665" t="s">
        <v>301</v>
      </c>
      <c r="C11" s="20" t="s">
        <v>342</v>
      </c>
      <c r="D11" s="277">
        <v>2.25</v>
      </c>
      <c r="E11" s="768">
        <f>L11*J11*K11</f>
        <v>0.176625</v>
      </c>
      <c r="F11" s="20" t="s">
        <v>141</v>
      </c>
      <c r="G11" s="20"/>
      <c r="H11" s="278"/>
      <c r="I11" s="21" t="s">
        <v>343</v>
      </c>
      <c r="J11" s="769">
        <f>125*60*10^-6</f>
        <v>7.4999999999999997E-3</v>
      </c>
      <c r="K11" s="668">
        <v>3.0000000000000001E-3</v>
      </c>
      <c r="L11" s="669">
        <v>7850</v>
      </c>
      <c r="M11" s="23">
        <v>1</v>
      </c>
      <c r="N11" s="277">
        <f>IF(J11="",D11*M11,D11*J11*K11*L11*M11)</f>
        <v>0.39740625000000002</v>
      </c>
      <c r="O11" s="66"/>
      <c r="P11" s="22"/>
    </row>
    <row r="12" spans="1:16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0.39740625000000002</v>
      </c>
      <c r="O12" s="62"/>
    </row>
    <row r="13" spans="1:16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25">
      <c r="A14" s="770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6" ht="45" x14ac:dyDescent="0.25">
      <c r="A15" s="771">
        <v>10</v>
      </c>
      <c r="B15" s="742" t="s">
        <v>344</v>
      </c>
      <c r="C15" s="742" t="s">
        <v>345</v>
      </c>
      <c r="D15" s="743">
        <v>1.3</v>
      </c>
      <c r="E15" s="742" t="s">
        <v>35</v>
      </c>
      <c r="F15" s="742">
        <v>1</v>
      </c>
      <c r="G15" s="772" t="s">
        <v>346</v>
      </c>
      <c r="H15" s="742">
        <v>0.25</v>
      </c>
      <c r="I15" s="743">
        <f>D15*F15*H15</f>
        <v>0.32500000000000001</v>
      </c>
      <c r="J15" s="58"/>
      <c r="K15" s="58"/>
      <c r="L15" s="58"/>
      <c r="M15" s="58"/>
      <c r="N15" s="58"/>
      <c r="O15" s="68"/>
      <c r="P15" s="25"/>
    </row>
    <row r="16" spans="1:16" x14ac:dyDescent="0.25">
      <c r="A16" s="771">
        <v>20</v>
      </c>
      <c r="B16" s="742" t="s">
        <v>347</v>
      </c>
      <c r="C16" s="742" t="s">
        <v>348</v>
      </c>
      <c r="D16" s="743">
        <v>0.01</v>
      </c>
      <c r="E16" s="742" t="s">
        <v>40</v>
      </c>
      <c r="F16" s="742">
        <v>5.3</v>
      </c>
      <c r="G16" s="742" t="s">
        <v>339</v>
      </c>
      <c r="H16" s="742">
        <v>3</v>
      </c>
      <c r="I16" s="743">
        <f>D16*F16*H16</f>
        <v>0.159</v>
      </c>
      <c r="J16" s="56"/>
      <c r="K16" s="56"/>
      <c r="L16" s="56"/>
      <c r="M16" s="56"/>
      <c r="N16" s="56"/>
      <c r="O16" s="62"/>
    </row>
    <row r="17" spans="1:15" x14ac:dyDescent="0.25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0.48399999999999999</v>
      </c>
      <c r="J17" s="24"/>
      <c r="K17" s="24"/>
      <c r="L17" s="24"/>
      <c r="M17" s="24"/>
      <c r="N17" s="24"/>
      <c r="O17" s="62"/>
    </row>
    <row r="18" spans="1:15" ht="15.75" thickBot="1" x14ac:dyDescent="0.3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6003" display="Drawing" xr:uid="{00000000-0004-0000-5B00-000000000000}"/>
    <hyperlink ref="G2" location="SU_A0600_BOM" display="Back to BOM" xr:uid="{00000000-0004-0000-5B00-000001000000}"/>
    <hyperlink ref="B4" location="SU_A0600" display="SU_A0600" xr:uid="{00000000-0004-0000-5B00-000002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7" fitToHeight="99" orientation="landscape" r:id="rId1"/>
  <headerFooter>
    <oddFooter>Page &amp;P</oddFooter>
  </headerFooter>
  <drawing r:id="rId2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C00-000000000000}">
  <sheetPr>
    <tabColor rgb="FFFFFF00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2.140625" customWidth="1"/>
  </cols>
  <sheetData>
    <row r="1" spans="1:2" x14ac:dyDescent="0.25">
      <c r="A1" t="s">
        <v>349</v>
      </c>
      <c r="B1" s="275" t="s">
        <v>350</v>
      </c>
    </row>
  </sheetData>
  <hyperlinks>
    <hyperlink ref="B1" location="SU_06003" display="SU_06003" xr:uid="{00000000-0004-0000-5C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D00-000000000000}">
  <sheetPr>
    <tabColor rgb="FFFFFF00"/>
    <pageSetUpPr fitToPage="1"/>
  </sheetPr>
  <dimension ref="A1:O20"/>
  <sheetViews>
    <sheetView zoomScale="70" zoomScaleNormal="70" zoomScalePageLayoutView="70" workbookViewId="0">
      <selection activeCell="E2" sqref="E2"/>
    </sheetView>
  </sheetViews>
  <sheetFormatPr baseColWidth="10" defaultRowHeight="15" x14ac:dyDescent="0.25"/>
  <cols>
    <col min="2" max="2" width="39.140625" customWidth="1"/>
    <col min="3" max="3" width="30.85546875" customWidth="1"/>
    <col min="7" max="7" width="36.7109375" customWidth="1"/>
    <col min="9" max="9" width="29.28515625" customWidth="1"/>
    <col min="15" max="15" width="7.7109375" customWidth="1"/>
  </cols>
  <sheetData>
    <row r="1" spans="1:15" x14ac:dyDescent="0.25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25">
      <c r="A2" s="758" t="s">
        <v>0</v>
      </c>
      <c r="B2" s="16" t="s">
        <v>37</v>
      </c>
      <c r="C2" s="731"/>
      <c r="D2" s="731"/>
      <c r="E2" s="731"/>
      <c r="F2" s="87" t="s">
        <v>62</v>
      </c>
      <c r="G2" s="731"/>
      <c r="H2" s="731"/>
      <c r="I2" s="731"/>
      <c r="J2" s="759" t="s">
        <v>1</v>
      </c>
      <c r="K2" s="733">
        <v>81</v>
      </c>
      <c r="L2" s="731"/>
      <c r="M2" s="760" t="s">
        <v>16</v>
      </c>
      <c r="N2" s="734">
        <f>SU_06004_m+SU_06004_p</f>
        <v>2.2702062500000002</v>
      </c>
      <c r="O2" s="264"/>
    </row>
    <row r="3" spans="1:15" x14ac:dyDescent="0.25">
      <c r="A3" s="761" t="s">
        <v>3</v>
      </c>
      <c r="B3" s="16" t="str">
        <f>'SU A0600'!B3</f>
        <v>Suspension &amp; Shocks</v>
      </c>
      <c r="C3" s="731"/>
      <c r="D3" s="760" t="s">
        <v>6</v>
      </c>
      <c r="E3" s="731"/>
      <c r="F3" s="731"/>
      <c r="G3" s="731"/>
      <c r="H3" s="731"/>
      <c r="I3" s="731"/>
      <c r="J3" s="731"/>
      <c r="K3" s="731"/>
      <c r="L3" s="731"/>
      <c r="M3" s="762" t="s">
        <v>4</v>
      </c>
      <c r="N3" s="735">
        <v>2</v>
      </c>
      <c r="O3" s="264"/>
    </row>
    <row r="4" spans="1:15" x14ac:dyDescent="0.25">
      <c r="A4" s="761" t="s">
        <v>5</v>
      </c>
      <c r="B4" s="87" t="str">
        <f>'SU A0600'!B4</f>
        <v>Front Bell Crank</v>
      </c>
      <c r="C4" s="731"/>
      <c r="D4" s="762" t="s">
        <v>8</v>
      </c>
      <c r="E4" s="731"/>
      <c r="F4" s="731"/>
      <c r="G4" s="731"/>
      <c r="H4" s="731"/>
      <c r="I4" s="731"/>
      <c r="J4" s="760" t="s">
        <v>6</v>
      </c>
      <c r="K4" s="731"/>
      <c r="L4" s="731"/>
      <c r="M4" s="731"/>
      <c r="N4" s="731"/>
      <c r="O4" s="264"/>
    </row>
    <row r="5" spans="1:15" x14ac:dyDescent="0.25">
      <c r="A5" s="761" t="s">
        <v>15</v>
      </c>
      <c r="B5" s="736" t="s">
        <v>314</v>
      </c>
      <c r="C5" s="731"/>
      <c r="D5" s="762" t="s">
        <v>12</v>
      </c>
      <c r="E5" s="731"/>
      <c r="F5" s="731"/>
      <c r="G5" s="731"/>
      <c r="H5" s="731"/>
      <c r="I5" s="731"/>
      <c r="J5" s="762" t="s">
        <v>8</v>
      </c>
      <c r="K5" s="731"/>
      <c r="L5" s="731"/>
      <c r="M5" s="760" t="s">
        <v>9</v>
      </c>
      <c r="N5" s="734">
        <f>N2*N3</f>
        <v>4.5404125000000004</v>
      </c>
      <c r="O5" s="264"/>
    </row>
    <row r="6" spans="1:15" x14ac:dyDescent="0.25">
      <c r="A6" s="761" t="s">
        <v>7</v>
      </c>
      <c r="B6" s="731" t="s">
        <v>351</v>
      </c>
      <c r="C6" s="731"/>
      <c r="D6" s="731"/>
      <c r="E6" s="731"/>
      <c r="F6" s="731"/>
      <c r="G6" s="731"/>
      <c r="H6" s="731"/>
      <c r="I6" s="731"/>
      <c r="J6" s="762" t="s">
        <v>12</v>
      </c>
      <c r="K6" s="731"/>
      <c r="L6" s="731"/>
      <c r="M6" s="731"/>
      <c r="N6" s="731"/>
      <c r="O6" s="264"/>
    </row>
    <row r="7" spans="1:15" x14ac:dyDescent="0.25">
      <c r="A7" s="761" t="s">
        <v>10</v>
      </c>
      <c r="B7" s="16" t="s">
        <v>11</v>
      </c>
      <c r="C7" s="731"/>
      <c r="D7" s="731"/>
      <c r="E7" s="731"/>
      <c r="F7" s="731"/>
      <c r="G7" s="731"/>
      <c r="H7" s="731"/>
      <c r="I7" s="731"/>
      <c r="J7" s="731"/>
      <c r="K7" s="731"/>
      <c r="L7" s="731"/>
      <c r="M7" s="731"/>
      <c r="N7" s="731"/>
      <c r="O7" s="264"/>
    </row>
    <row r="8" spans="1:15" x14ac:dyDescent="0.25">
      <c r="A8" s="761" t="s">
        <v>13</v>
      </c>
      <c r="B8" s="16"/>
      <c r="C8" s="731"/>
      <c r="D8" s="731"/>
      <c r="E8" s="731"/>
      <c r="F8" s="731"/>
      <c r="G8" s="731"/>
      <c r="H8" s="731"/>
      <c r="I8" s="731"/>
      <c r="J8" s="731"/>
      <c r="K8" s="731"/>
      <c r="L8" s="731"/>
      <c r="M8" s="731"/>
      <c r="N8" s="731"/>
      <c r="O8" s="264"/>
    </row>
    <row r="9" spans="1:15" x14ac:dyDescent="0.25">
      <c r="A9" s="737"/>
      <c r="B9" s="731"/>
      <c r="C9" s="731"/>
      <c r="D9" s="731"/>
      <c r="E9" s="731"/>
      <c r="F9" s="731"/>
      <c r="G9" s="731"/>
      <c r="H9" s="731"/>
      <c r="I9" s="731"/>
      <c r="J9" s="731"/>
      <c r="K9" s="731"/>
      <c r="L9" s="731"/>
      <c r="M9" s="731"/>
      <c r="N9" s="731"/>
      <c r="O9" s="264"/>
    </row>
    <row r="10" spans="1:15" x14ac:dyDescent="0.25">
      <c r="A10" s="763" t="s">
        <v>14</v>
      </c>
      <c r="B10" s="764" t="s">
        <v>19</v>
      </c>
      <c r="C10" s="764" t="s">
        <v>20</v>
      </c>
      <c r="D10" s="739" t="s">
        <v>21</v>
      </c>
      <c r="E10" s="739" t="s">
        <v>22</v>
      </c>
      <c r="F10" s="739" t="s">
        <v>23</v>
      </c>
      <c r="G10" s="739" t="s">
        <v>24</v>
      </c>
      <c r="H10" s="739" t="s">
        <v>25</v>
      </c>
      <c r="I10" s="739" t="s">
        <v>26</v>
      </c>
      <c r="J10" s="739" t="s">
        <v>27</v>
      </c>
      <c r="K10" s="739" t="s">
        <v>28</v>
      </c>
      <c r="L10" s="739" t="s">
        <v>29</v>
      </c>
      <c r="M10" s="739" t="s">
        <v>17</v>
      </c>
      <c r="N10" s="739" t="s">
        <v>18</v>
      </c>
      <c r="O10" s="264"/>
    </row>
    <row r="11" spans="1:15" x14ac:dyDescent="0.25">
      <c r="A11" s="765">
        <v>10</v>
      </c>
      <c r="B11" s="766" t="s">
        <v>301</v>
      </c>
      <c r="C11" s="773" t="s">
        <v>302</v>
      </c>
      <c r="D11" s="743">
        <v>2.25</v>
      </c>
      <c r="E11" s="744">
        <f>J11*K11*L11</f>
        <v>5.1024999999999994E-2</v>
      </c>
      <c r="F11" s="742" t="s">
        <v>141</v>
      </c>
      <c r="G11" s="742"/>
      <c r="H11" s="745"/>
      <c r="I11" s="746" t="s">
        <v>352</v>
      </c>
      <c r="J11" s="746">
        <f>50*26*10^-6</f>
        <v>1.2999999999999999E-3</v>
      </c>
      <c r="K11" s="747">
        <v>5.0000000000000001E-3</v>
      </c>
      <c r="L11" s="748">
        <v>7850</v>
      </c>
      <c r="M11" s="748">
        <v>1</v>
      </c>
      <c r="N11" s="743">
        <f>D11*E11*M11</f>
        <v>0.11480624999999998</v>
      </c>
      <c r="O11" s="264"/>
    </row>
    <row r="12" spans="1:15" x14ac:dyDescent="0.25">
      <c r="A12" s="749"/>
      <c r="B12" s="750"/>
      <c r="C12" s="750"/>
      <c r="D12" s="750"/>
      <c r="E12" s="750"/>
      <c r="F12" s="750"/>
      <c r="G12" s="750"/>
      <c r="H12" s="750"/>
      <c r="I12" s="750"/>
      <c r="J12" s="750"/>
      <c r="K12" s="750"/>
      <c r="L12" s="750"/>
      <c r="M12" s="751" t="s">
        <v>18</v>
      </c>
      <c r="N12" s="752">
        <f>N11</f>
        <v>0.11480624999999998</v>
      </c>
      <c r="O12" s="264"/>
    </row>
    <row r="13" spans="1:15" x14ac:dyDescent="0.25">
      <c r="A13" s="737"/>
      <c r="B13" s="731"/>
      <c r="C13" s="731"/>
      <c r="D13" s="731"/>
      <c r="E13" s="731"/>
      <c r="F13" s="731"/>
      <c r="G13" s="731"/>
      <c r="H13" s="731"/>
      <c r="I13" s="731"/>
      <c r="J13" s="731"/>
      <c r="K13" s="731"/>
      <c r="L13" s="731"/>
      <c r="M13" s="731"/>
      <c r="N13" s="731"/>
      <c r="O13" s="264"/>
    </row>
    <row r="14" spans="1:15" x14ac:dyDescent="0.25">
      <c r="A14" s="738" t="s">
        <v>14</v>
      </c>
      <c r="B14" s="739" t="s">
        <v>31</v>
      </c>
      <c r="C14" s="739" t="s">
        <v>20</v>
      </c>
      <c r="D14" s="739" t="s">
        <v>21</v>
      </c>
      <c r="E14" s="739" t="s">
        <v>32</v>
      </c>
      <c r="F14" s="739" t="s">
        <v>17</v>
      </c>
      <c r="G14" s="739" t="s">
        <v>33</v>
      </c>
      <c r="H14" s="739" t="s">
        <v>34</v>
      </c>
      <c r="I14" s="739" t="s">
        <v>18</v>
      </c>
      <c r="J14" s="750"/>
      <c r="K14" s="750"/>
      <c r="L14" s="750"/>
      <c r="M14" s="750"/>
      <c r="N14" s="750"/>
      <c r="O14" s="264"/>
    </row>
    <row r="15" spans="1:15" x14ac:dyDescent="0.25">
      <c r="A15" s="740">
        <v>10</v>
      </c>
      <c r="B15" s="742" t="s">
        <v>344</v>
      </c>
      <c r="C15" s="742" t="s">
        <v>345</v>
      </c>
      <c r="D15" s="743">
        <v>1.3</v>
      </c>
      <c r="E15" s="742" t="s">
        <v>35</v>
      </c>
      <c r="F15" s="742">
        <v>1</v>
      </c>
      <c r="G15" s="742" t="s">
        <v>346</v>
      </c>
      <c r="H15" s="742">
        <v>0.25</v>
      </c>
      <c r="I15" s="743">
        <f>D15*F15*H15</f>
        <v>0.32500000000000001</v>
      </c>
      <c r="J15" s="731"/>
      <c r="K15" s="731"/>
      <c r="L15" s="731"/>
      <c r="M15" s="731"/>
      <c r="N15" s="731"/>
      <c r="O15" s="264"/>
    </row>
    <row r="16" spans="1:15" x14ac:dyDescent="0.25">
      <c r="A16" s="740">
        <v>20</v>
      </c>
      <c r="B16" s="742" t="s">
        <v>347</v>
      </c>
      <c r="C16" s="742" t="s">
        <v>348</v>
      </c>
      <c r="D16" s="743">
        <v>0.01</v>
      </c>
      <c r="E16" s="742" t="s">
        <v>40</v>
      </c>
      <c r="F16" s="742">
        <v>16</v>
      </c>
      <c r="G16" s="742" t="s">
        <v>339</v>
      </c>
      <c r="H16" s="742">
        <v>3</v>
      </c>
      <c r="I16" s="743">
        <f>D16*F16*H16</f>
        <v>0.48</v>
      </c>
      <c r="J16" s="731"/>
      <c r="K16" s="731"/>
      <c r="L16" s="731"/>
      <c r="M16" s="731"/>
      <c r="N16" s="731"/>
      <c r="O16" s="264"/>
    </row>
    <row r="17" spans="1:15" x14ac:dyDescent="0.25">
      <c r="A17" s="740">
        <v>30</v>
      </c>
      <c r="B17" s="742" t="s">
        <v>39</v>
      </c>
      <c r="C17" s="742"/>
      <c r="D17" s="743">
        <v>1.3</v>
      </c>
      <c r="E17" s="742" t="s">
        <v>35</v>
      </c>
      <c r="F17" s="742">
        <v>1</v>
      </c>
      <c r="G17" s="742"/>
      <c r="H17" s="742"/>
      <c r="I17" s="743">
        <v>1.3</v>
      </c>
      <c r="J17" s="750"/>
      <c r="K17" s="750"/>
      <c r="L17" s="750"/>
      <c r="M17" s="750"/>
      <c r="N17" s="750"/>
      <c r="O17" s="264"/>
    </row>
    <row r="18" spans="1:15" x14ac:dyDescent="0.25">
      <c r="A18" s="740">
        <v>40</v>
      </c>
      <c r="B18" s="742" t="s">
        <v>353</v>
      </c>
      <c r="C18" s="742" t="s">
        <v>335</v>
      </c>
      <c r="D18" s="743">
        <v>0.04</v>
      </c>
      <c r="E18" s="742" t="s">
        <v>93</v>
      </c>
      <c r="F18" s="742">
        <v>0.42</v>
      </c>
      <c r="G18" s="742" t="s">
        <v>339</v>
      </c>
      <c r="H18" s="742">
        <v>3</v>
      </c>
      <c r="I18" s="743">
        <f>D18*F18*H18</f>
        <v>5.04E-2</v>
      </c>
      <c r="J18" s="731"/>
      <c r="K18" s="731"/>
      <c r="L18" s="731"/>
      <c r="M18" s="731"/>
      <c r="N18" s="731"/>
      <c r="O18" s="264"/>
    </row>
    <row r="19" spans="1:15" x14ac:dyDescent="0.25">
      <c r="A19" s="749"/>
      <c r="B19" s="750"/>
      <c r="C19" s="750"/>
      <c r="D19" s="750"/>
      <c r="E19" s="750"/>
      <c r="F19" s="750"/>
      <c r="G19" s="750"/>
      <c r="H19" s="751" t="s">
        <v>18</v>
      </c>
      <c r="I19" s="753">
        <f>SUM(I15:I18)</f>
        <v>2.1554000000000002</v>
      </c>
      <c r="J19" s="56"/>
      <c r="K19" s="56"/>
      <c r="L19" s="56"/>
      <c r="M19" s="56"/>
      <c r="N19" s="56"/>
      <c r="O19" s="264"/>
    </row>
    <row r="20" spans="1:15" ht="15.75" thickBot="1" x14ac:dyDescent="0.3">
      <c r="A20" s="754"/>
      <c r="B20" s="755"/>
      <c r="C20" s="755"/>
      <c r="D20" s="755"/>
      <c r="E20" s="755"/>
      <c r="F20" s="755"/>
      <c r="G20" s="755"/>
      <c r="H20" s="774"/>
      <c r="I20" s="775"/>
      <c r="J20" s="285"/>
      <c r="K20" s="285"/>
      <c r="L20" s="285"/>
      <c r="M20" s="285"/>
      <c r="N20" s="285"/>
      <c r="O20" s="286"/>
    </row>
  </sheetData>
  <hyperlinks>
    <hyperlink ref="F2" location="SU_A0600_BOM" display="Back to BOM" xr:uid="{00000000-0004-0000-5D00-000000000000}"/>
    <hyperlink ref="B4" location="SU_A0600" display="SU_A0600" xr:uid="{00000000-0004-0000-5D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5" fitToHeight="99" orientation="landscape" r:id="rId1"/>
  <headerFooter>
    <oddFooter>Page &amp;P</oddFooter>
  </headerFooter>
  <drawing r:id="rId2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E00-000000000000}">
  <sheetPr>
    <tabColor rgb="FFFFFF00"/>
    <pageSetUpPr fitToPage="1"/>
  </sheetPr>
  <dimension ref="A1:O52"/>
  <sheetViews>
    <sheetView zoomScale="75" zoomScaleNormal="75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28" customWidth="1"/>
    <col min="3" max="3" width="46" customWidth="1"/>
    <col min="5" max="5" width="10.28515625" customWidth="1"/>
    <col min="7" max="7" width="7" customWidth="1"/>
    <col min="8" max="8" width="11" customWidth="1"/>
    <col min="15" max="15" width="5.28515625" customWidth="1"/>
  </cols>
  <sheetData>
    <row r="1" spans="1:15" x14ac:dyDescent="0.25">
      <c r="A1" s="836"/>
      <c r="B1" s="837"/>
      <c r="C1" s="837"/>
      <c r="D1" s="837"/>
      <c r="E1" s="837"/>
      <c r="F1" s="837"/>
      <c r="G1" s="837"/>
      <c r="H1" s="837"/>
      <c r="I1" s="837"/>
      <c r="J1" s="837"/>
      <c r="K1" s="837"/>
      <c r="L1" s="837"/>
      <c r="M1" s="837"/>
      <c r="N1" s="837"/>
      <c r="O1" s="838"/>
    </row>
    <row r="2" spans="1:15" x14ac:dyDescent="0.25">
      <c r="A2" s="703" t="s">
        <v>0</v>
      </c>
      <c r="B2" s="16" t="s">
        <v>37</v>
      </c>
      <c r="C2" s="57"/>
      <c r="D2" s="57"/>
      <c r="E2" s="839" t="s">
        <v>62</v>
      </c>
      <c r="F2" s="57"/>
      <c r="G2" s="57"/>
      <c r="H2" s="57"/>
      <c r="I2" s="57"/>
      <c r="J2" s="95" t="s">
        <v>1</v>
      </c>
      <c r="K2" s="83">
        <v>81</v>
      </c>
      <c r="L2" s="57"/>
      <c r="M2" s="95" t="s">
        <v>2</v>
      </c>
      <c r="N2" s="92">
        <f>SU_A0700_pa+SU_A0700_m+SU_A0700_p+SU_A0700_f+SU_A0700_t</f>
        <v>340.94452558086874</v>
      </c>
      <c r="O2" s="723"/>
    </row>
    <row r="3" spans="1:15" x14ac:dyDescent="0.25">
      <c r="A3" s="703" t="s">
        <v>3</v>
      </c>
      <c r="B3" s="16" t="s">
        <v>63</v>
      </c>
      <c r="C3" s="57"/>
      <c r="D3" s="57"/>
      <c r="E3" s="57"/>
      <c r="F3" s="57"/>
      <c r="G3" s="57"/>
      <c r="H3" s="57"/>
      <c r="I3" s="57"/>
      <c r="J3" s="57"/>
      <c r="K3" s="57"/>
      <c r="L3" s="57"/>
      <c r="M3" s="95" t="s">
        <v>4</v>
      </c>
      <c r="N3" s="82">
        <v>2</v>
      </c>
      <c r="O3" s="723"/>
    </row>
    <row r="4" spans="1:15" x14ac:dyDescent="0.25">
      <c r="A4" s="703" t="s">
        <v>5</v>
      </c>
      <c r="B4" s="57" t="s">
        <v>354</v>
      </c>
      <c r="C4" s="57"/>
      <c r="D4" s="57"/>
      <c r="E4" s="57"/>
      <c r="F4" s="57"/>
      <c r="G4" s="57"/>
      <c r="H4" s="57"/>
      <c r="I4" s="57"/>
      <c r="J4" s="96" t="s">
        <v>6</v>
      </c>
      <c r="K4" s="57"/>
      <c r="L4" s="57"/>
      <c r="M4" s="57"/>
      <c r="N4" s="57"/>
      <c r="O4" s="723"/>
    </row>
    <row r="5" spans="1:15" x14ac:dyDescent="0.25">
      <c r="A5" s="703" t="s">
        <v>7</v>
      </c>
      <c r="B5" s="18" t="s">
        <v>355</v>
      </c>
      <c r="C5" s="57"/>
      <c r="D5" s="57"/>
      <c r="E5" s="57"/>
      <c r="F5" s="57"/>
      <c r="G5" s="57"/>
      <c r="H5" s="57"/>
      <c r="I5" s="57"/>
      <c r="J5" s="96" t="s">
        <v>8</v>
      </c>
      <c r="K5" s="57"/>
      <c r="L5" s="57"/>
      <c r="M5" s="95" t="s">
        <v>9</v>
      </c>
      <c r="N5" s="74">
        <f>N2*N3</f>
        <v>681.88905116173748</v>
      </c>
      <c r="O5" s="723"/>
    </row>
    <row r="6" spans="1:15" x14ac:dyDescent="0.25">
      <c r="A6" s="703" t="s">
        <v>10</v>
      </c>
      <c r="B6" s="16" t="s">
        <v>11</v>
      </c>
      <c r="C6" s="57"/>
      <c r="D6" s="57"/>
      <c r="E6" s="57"/>
      <c r="F6" s="57"/>
      <c r="G6" s="57"/>
      <c r="H6" s="57"/>
      <c r="I6" s="57"/>
      <c r="J6" s="96" t="s">
        <v>12</v>
      </c>
      <c r="K6" s="57"/>
      <c r="L6" s="57"/>
      <c r="M6" s="57"/>
      <c r="N6" s="57"/>
      <c r="O6" s="723"/>
    </row>
    <row r="7" spans="1:15" x14ac:dyDescent="0.25">
      <c r="A7" s="703" t="s">
        <v>13</v>
      </c>
      <c r="B7" s="840" t="s">
        <v>356</v>
      </c>
      <c r="C7" s="57"/>
      <c r="D7" s="57"/>
      <c r="E7" s="57"/>
      <c r="F7" s="57"/>
      <c r="G7" s="57"/>
      <c r="H7" s="57"/>
      <c r="I7" s="57"/>
      <c r="J7" s="57"/>
      <c r="K7" s="57"/>
      <c r="L7" s="57"/>
      <c r="M7" s="57"/>
      <c r="N7" s="57"/>
      <c r="O7" s="723"/>
    </row>
    <row r="8" spans="1:15" x14ac:dyDescent="0.25">
      <c r="A8" s="841"/>
      <c r="B8" s="57"/>
      <c r="C8" s="57"/>
      <c r="D8" s="57"/>
      <c r="E8" s="57"/>
      <c r="F8" s="57"/>
      <c r="G8" s="57"/>
      <c r="H8" s="57"/>
      <c r="I8" s="57"/>
      <c r="J8" s="57"/>
      <c r="K8" s="57"/>
      <c r="L8" s="57"/>
      <c r="M8" s="57"/>
      <c r="N8" s="57"/>
      <c r="O8" s="723"/>
    </row>
    <row r="9" spans="1:15" x14ac:dyDescent="0.25">
      <c r="A9" s="706" t="s">
        <v>14</v>
      </c>
      <c r="B9" s="633" t="s">
        <v>15</v>
      </c>
      <c r="C9" s="633" t="s">
        <v>16</v>
      </c>
      <c r="D9" s="633" t="s">
        <v>17</v>
      </c>
      <c r="E9" s="633" t="s">
        <v>18</v>
      </c>
      <c r="F9" s="57"/>
      <c r="G9" s="57"/>
      <c r="H9" s="57"/>
      <c r="I9" s="57"/>
      <c r="J9" s="57"/>
      <c r="K9" s="57"/>
      <c r="L9" s="57"/>
      <c r="M9" s="57"/>
      <c r="N9" s="57"/>
      <c r="O9" s="723"/>
    </row>
    <row r="10" spans="1:15" x14ac:dyDescent="0.25">
      <c r="A10" s="776">
        <v>10</v>
      </c>
      <c r="B10" s="458" t="s">
        <v>357</v>
      </c>
      <c r="C10" s="569">
        <f>'SU 07001'!N2</f>
        <v>5.9234014172552163</v>
      </c>
      <c r="D10" s="634">
        <f>SU_07001_q</f>
        <v>1</v>
      </c>
      <c r="E10" s="569">
        <f>C10*D10</f>
        <v>5.9234014172552163</v>
      </c>
      <c r="F10" s="57"/>
      <c r="G10" s="57"/>
      <c r="H10" s="57"/>
      <c r="I10" s="57"/>
      <c r="J10" s="57"/>
      <c r="K10" s="57"/>
      <c r="L10" s="57"/>
      <c r="M10" s="57"/>
      <c r="N10" s="57"/>
      <c r="O10" s="723"/>
    </row>
    <row r="11" spans="1:15" x14ac:dyDescent="0.25">
      <c r="A11" s="841"/>
      <c r="B11" s="57"/>
      <c r="C11" s="57"/>
      <c r="D11" s="259" t="s">
        <v>18</v>
      </c>
      <c r="E11" s="238">
        <f>SUM(E10:E10)</f>
        <v>5.9234014172552163</v>
      </c>
      <c r="F11" s="57"/>
      <c r="G11" s="57"/>
      <c r="H11" s="57"/>
      <c r="I11" s="57"/>
      <c r="J11" s="57"/>
      <c r="K11" s="57"/>
      <c r="L11" s="57"/>
      <c r="M11" s="57"/>
      <c r="N11" s="57"/>
      <c r="O11" s="723"/>
    </row>
    <row r="12" spans="1:15" x14ac:dyDescent="0.25">
      <c r="A12" s="841"/>
      <c r="B12" s="57"/>
      <c r="C12" s="57"/>
      <c r="D12" s="57"/>
      <c r="E12" s="57"/>
      <c r="F12" s="57"/>
      <c r="G12" s="57"/>
      <c r="H12" s="57"/>
      <c r="I12" s="57"/>
      <c r="J12" s="57"/>
      <c r="K12" s="57"/>
      <c r="L12" s="57"/>
      <c r="M12" s="57"/>
      <c r="N12" s="57"/>
      <c r="O12" s="723"/>
    </row>
    <row r="13" spans="1:15" x14ac:dyDescent="0.25">
      <c r="A13" s="706" t="s">
        <v>14</v>
      </c>
      <c r="B13" s="633" t="s">
        <v>19</v>
      </c>
      <c r="C13" s="633" t="s">
        <v>20</v>
      </c>
      <c r="D13" s="633" t="s">
        <v>21</v>
      </c>
      <c r="E13" s="633" t="s">
        <v>22</v>
      </c>
      <c r="F13" s="633" t="s">
        <v>23</v>
      </c>
      <c r="G13" s="633" t="s">
        <v>24</v>
      </c>
      <c r="H13" s="633" t="s">
        <v>25</v>
      </c>
      <c r="I13" s="633" t="s">
        <v>26</v>
      </c>
      <c r="J13" s="633" t="s">
        <v>27</v>
      </c>
      <c r="K13" s="633" t="s">
        <v>28</v>
      </c>
      <c r="L13" s="633" t="s">
        <v>29</v>
      </c>
      <c r="M13" s="633" t="s">
        <v>17</v>
      </c>
      <c r="N13" s="633" t="s">
        <v>18</v>
      </c>
      <c r="O13" s="723"/>
    </row>
    <row r="14" spans="1:15" x14ac:dyDescent="0.25">
      <c r="A14" s="776">
        <v>10</v>
      </c>
      <c r="B14" s="566" t="s">
        <v>273</v>
      </c>
      <c r="C14" s="566"/>
      <c r="D14" s="569">
        <v>305</v>
      </c>
      <c r="E14" s="566"/>
      <c r="F14" s="566" t="s">
        <v>35</v>
      </c>
      <c r="G14" s="566"/>
      <c r="H14" s="570"/>
      <c r="I14" s="635"/>
      <c r="J14" s="636"/>
      <c r="K14" s="570"/>
      <c r="L14" s="570"/>
      <c r="M14" s="572">
        <v>1</v>
      </c>
      <c r="N14" s="569">
        <f>D14*M14</f>
        <v>305</v>
      </c>
      <c r="O14" s="723"/>
    </row>
    <row r="15" spans="1:15" s="22" customFormat="1" x14ac:dyDescent="0.25">
      <c r="A15" s="776">
        <v>20</v>
      </c>
      <c r="B15" s="566" t="s">
        <v>274</v>
      </c>
      <c r="C15" s="637"/>
      <c r="D15" s="569">
        <v>25</v>
      </c>
      <c r="E15" s="638"/>
      <c r="F15" s="638" t="s">
        <v>35</v>
      </c>
      <c r="G15" s="638"/>
      <c r="H15" s="570"/>
      <c r="I15" s="639"/>
      <c r="J15" s="640"/>
      <c r="K15" s="641"/>
      <c r="L15" s="842"/>
      <c r="M15" s="572">
        <v>1</v>
      </c>
      <c r="N15" s="569">
        <f>D15*M15</f>
        <v>25</v>
      </c>
      <c r="O15" s="843"/>
    </row>
    <row r="16" spans="1:15" x14ac:dyDescent="0.25">
      <c r="A16" s="844">
        <v>30</v>
      </c>
      <c r="B16" s="845" t="s">
        <v>275</v>
      </c>
      <c r="C16" s="846"/>
      <c r="D16" s="569">
        <v>0</v>
      </c>
      <c r="E16" s="846"/>
      <c r="F16" s="846" t="s">
        <v>35</v>
      </c>
      <c r="G16" s="846"/>
      <c r="H16" s="846"/>
      <c r="I16" s="846"/>
      <c r="J16" s="846"/>
      <c r="K16" s="846"/>
      <c r="L16" s="846"/>
      <c r="M16" s="846">
        <v>2</v>
      </c>
      <c r="N16" s="569">
        <f>D16*M16</f>
        <v>0</v>
      </c>
      <c r="O16" s="723"/>
    </row>
    <row r="17" spans="1:15" x14ac:dyDescent="0.25">
      <c r="A17" s="844">
        <v>40</v>
      </c>
      <c r="B17" s="845" t="s">
        <v>276</v>
      </c>
      <c r="C17" s="846" t="s">
        <v>358</v>
      </c>
      <c r="D17" s="569">
        <v>10</v>
      </c>
      <c r="E17" s="846">
        <v>4.0000000000000001E-3</v>
      </c>
      <c r="F17" s="846" t="s">
        <v>202</v>
      </c>
      <c r="G17" s="846"/>
      <c r="H17" s="846"/>
      <c r="I17" s="846"/>
      <c r="J17" s="846"/>
      <c r="K17" s="846"/>
      <c r="L17" s="846"/>
      <c r="M17" s="846">
        <v>1</v>
      </c>
      <c r="N17" s="569">
        <f>D17*E17*M17</f>
        <v>0.04</v>
      </c>
      <c r="O17" s="723"/>
    </row>
    <row r="18" spans="1:15" x14ac:dyDescent="0.25">
      <c r="A18" s="719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644" t="s">
        <v>18</v>
      </c>
      <c r="N18" s="238">
        <f>SUM(N14:N17)</f>
        <v>330.04</v>
      </c>
      <c r="O18" s="723"/>
    </row>
    <row r="19" spans="1:15" x14ac:dyDescent="0.25">
      <c r="A19" s="841"/>
      <c r="B19" s="57"/>
      <c r="C19" s="57"/>
      <c r="D19" s="57"/>
      <c r="E19" s="57"/>
      <c r="F19" s="57"/>
      <c r="G19" s="57"/>
      <c r="H19" s="57"/>
      <c r="I19" s="57"/>
      <c r="J19" s="57"/>
      <c r="K19" s="57"/>
      <c r="L19" s="57"/>
      <c r="M19" s="57"/>
      <c r="N19" s="57"/>
      <c r="O19" s="723"/>
    </row>
    <row r="20" spans="1:15" s="25" customFormat="1" x14ac:dyDescent="0.25">
      <c r="A20" s="703" t="s">
        <v>14</v>
      </c>
      <c r="B20" s="95" t="s">
        <v>31</v>
      </c>
      <c r="C20" s="95" t="s">
        <v>20</v>
      </c>
      <c r="D20" s="95" t="s">
        <v>21</v>
      </c>
      <c r="E20" s="95" t="s">
        <v>32</v>
      </c>
      <c r="F20" s="95" t="s">
        <v>17</v>
      </c>
      <c r="G20" s="95" t="s">
        <v>33</v>
      </c>
      <c r="H20" s="95" t="s">
        <v>34</v>
      </c>
      <c r="I20" s="95" t="s">
        <v>18</v>
      </c>
      <c r="J20" s="24"/>
      <c r="K20" s="24"/>
      <c r="L20" s="24"/>
      <c r="M20" s="24"/>
      <c r="N20" s="24"/>
      <c r="O20" s="847"/>
    </row>
    <row r="21" spans="1:15" s="25" customFormat="1" x14ac:dyDescent="0.25">
      <c r="A21" s="848">
        <v>10</v>
      </c>
      <c r="B21" s="849" t="s">
        <v>278</v>
      </c>
      <c r="C21" s="850" t="s">
        <v>359</v>
      </c>
      <c r="D21" s="850">
        <v>0.38</v>
      </c>
      <c r="E21" s="850" t="s">
        <v>40</v>
      </c>
      <c r="F21" s="850">
        <f>2*1.7</f>
        <v>3.4</v>
      </c>
      <c r="G21" s="850"/>
      <c r="H21" s="850"/>
      <c r="I21" s="74">
        <f t="shared" ref="I21:I30" si="0">IF(H21="",D21*F21,D21*F21*H21)</f>
        <v>1.292</v>
      </c>
      <c r="J21" s="24"/>
      <c r="K21" s="24"/>
      <c r="L21" s="24"/>
      <c r="M21" s="24"/>
      <c r="N21" s="24"/>
      <c r="O21" s="847"/>
    </row>
    <row r="22" spans="1:15" s="25" customFormat="1" x14ac:dyDescent="0.25">
      <c r="A22" s="851">
        <v>20</v>
      </c>
      <c r="B22" s="852" t="s">
        <v>280</v>
      </c>
      <c r="C22" s="852" t="s">
        <v>360</v>
      </c>
      <c r="D22" s="253">
        <v>5.25</v>
      </c>
      <c r="E22" s="853" t="s">
        <v>202</v>
      </c>
      <c r="F22" s="853">
        <v>4.0000000000000001E-3</v>
      </c>
      <c r="G22" s="850"/>
      <c r="H22" s="850"/>
      <c r="I22" s="74">
        <f t="shared" si="0"/>
        <v>2.1000000000000001E-2</v>
      </c>
      <c r="J22" s="24"/>
      <c r="K22" s="24"/>
      <c r="L22" s="24"/>
      <c r="M22" s="24"/>
      <c r="N22" s="24"/>
      <c r="O22" s="847"/>
    </row>
    <row r="23" spans="1:15" x14ac:dyDescent="0.25">
      <c r="A23" s="714">
        <v>30</v>
      </c>
      <c r="B23" s="849" t="s">
        <v>282</v>
      </c>
      <c r="C23" s="72" t="s">
        <v>283</v>
      </c>
      <c r="D23" s="74">
        <v>0.06</v>
      </c>
      <c r="E23" s="72" t="s">
        <v>35</v>
      </c>
      <c r="F23" s="72">
        <v>2</v>
      </c>
      <c r="G23" s="72"/>
      <c r="H23" s="72"/>
      <c r="I23" s="74">
        <f t="shared" si="0"/>
        <v>0.12</v>
      </c>
      <c r="J23" s="57"/>
      <c r="K23" s="57"/>
      <c r="L23" s="57"/>
      <c r="M23" s="57"/>
      <c r="N23" s="57"/>
      <c r="O23" s="723"/>
    </row>
    <row r="24" spans="1:15" x14ac:dyDescent="0.25">
      <c r="A24" s="724">
        <v>40</v>
      </c>
      <c r="B24" s="854" t="s">
        <v>284</v>
      </c>
      <c r="C24" s="232" t="s">
        <v>285</v>
      </c>
      <c r="D24" s="234">
        <v>2</v>
      </c>
      <c r="E24" s="855" t="s">
        <v>35</v>
      </c>
      <c r="F24" s="232">
        <v>2</v>
      </c>
      <c r="G24" s="232"/>
      <c r="H24" s="232"/>
      <c r="I24" s="234">
        <f t="shared" si="0"/>
        <v>4</v>
      </c>
      <c r="J24" s="57"/>
      <c r="K24" s="57"/>
      <c r="L24" s="57"/>
      <c r="M24" s="57"/>
      <c r="N24" s="57"/>
      <c r="O24" s="723"/>
    </row>
    <row r="25" spans="1:15" x14ac:dyDescent="0.25">
      <c r="A25" s="707">
        <v>50</v>
      </c>
      <c r="B25" s="856" t="s">
        <v>286</v>
      </c>
      <c r="C25" s="856" t="s">
        <v>287</v>
      </c>
      <c r="D25" s="277">
        <v>0.06</v>
      </c>
      <c r="E25" s="671" t="s">
        <v>35</v>
      </c>
      <c r="F25" s="671">
        <v>2</v>
      </c>
      <c r="G25" s="671"/>
      <c r="H25" s="671"/>
      <c r="I25" s="277">
        <f t="shared" si="0"/>
        <v>0.12</v>
      </c>
      <c r="J25" s="57"/>
      <c r="K25" s="57"/>
      <c r="L25" s="57"/>
      <c r="M25" s="57"/>
      <c r="N25" s="57"/>
      <c r="O25" s="723"/>
    </row>
    <row r="26" spans="1:15" s="17" customFormat="1" x14ac:dyDescent="0.25">
      <c r="A26" s="707">
        <v>60</v>
      </c>
      <c r="B26" s="856" t="s">
        <v>286</v>
      </c>
      <c r="C26" s="856" t="s">
        <v>288</v>
      </c>
      <c r="D26" s="277">
        <v>0.06</v>
      </c>
      <c r="E26" s="671" t="s">
        <v>35</v>
      </c>
      <c r="F26" s="671">
        <v>2</v>
      </c>
      <c r="G26" s="671"/>
      <c r="H26" s="671"/>
      <c r="I26" s="277">
        <f t="shared" si="0"/>
        <v>0.12</v>
      </c>
      <c r="J26" s="57"/>
      <c r="K26" s="57"/>
      <c r="L26" s="57"/>
      <c r="M26" s="57"/>
      <c r="N26" s="57"/>
      <c r="O26" s="723"/>
    </row>
    <row r="27" spans="1:15" s="25" customFormat="1" x14ac:dyDescent="0.25">
      <c r="A27" s="707">
        <v>70</v>
      </c>
      <c r="B27" s="249" t="s">
        <v>289</v>
      </c>
      <c r="C27" s="856" t="s">
        <v>361</v>
      </c>
      <c r="D27" s="277">
        <v>0.12</v>
      </c>
      <c r="E27" s="671" t="s">
        <v>35</v>
      </c>
      <c r="F27" s="671">
        <v>2</v>
      </c>
      <c r="G27" s="671"/>
      <c r="H27" s="671"/>
      <c r="I27" s="277">
        <f t="shared" si="0"/>
        <v>0.24</v>
      </c>
      <c r="J27" s="57"/>
      <c r="K27" s="57"/>
      <c r="L27" s="57"/>
      <c r="M27" s="57"/>
      <c r="N27" s="57"/>
      <c r="O27" s="847"/>
    </row>
    <row r="28" spans="1:15" s="25" customFormat="1" x14ac:dyDescent="0.25">
      <c r="A28" s="707">
        <v>80</v>
      </c>
      <c r="B28" s="249" t="s">
        <v>289</v>
      </c>
      <c r="C28" s="856" t="s">
        <v>291</v>
      </c>
      <c r="D28" s="277">
        <v>0.12</v>
      </c>
      <c r="E28" s="671" t="s">
        <v>35</v>
      </c>
      <c r="F28" s="671">
        <v>2</v>
      </c>
      <c r="G28" s="671"/>
      <c r="H28" s="671"/>
      <c r="I28" s="277">
        <f t="shared" si="0"/>
        <v>0.24</v>
      </c>
      <c r="J28" s="57"/>
      <c r="K28" s="57"/>
      <c r="L28" s="57"/>
      <c r="M28" s="57"/>
      <c r="N28" s="57"/>
      <c r="O28" s="847"/>
    </row>
    <row r="29" spans="1:15" s="17" customFormat="1" x14ac:dyDescent="0.25">
      <c r="A29" s="707">
        <v>90</v>
      </c>
      <c r="B29" s="249" t="s">
        <v>292</v>
      </c>
      <c r="C29" s="856" t="s">
        <v>293</v>
      </c>
      <c r="D29" s="277">
        <v>0.75</v>
      </c>
      <c r="E29" s="857" t="s">
        <v>35</v>
      </c>
      <c r="F29" s="671">
        <v>2</v>
      </c>
      <c r="G29" s="671"/>
      <c r="H29" s="671"/>
      <c r="I29" s="277">
        <f t="shared" si="0"/>
        <v>1.5</v>
      </c>
      <c r="J29" s="57"/>
      <c r="K29" s="57"/>
      <c r="L29" s="57"/>
      <c r="M29" s="57"/>
      <c r="N29" s="57"/>
      <c r="O29" s="723"/>
    </row>
    <row r="30" spans="1:15" s="17" customFormat="1" x14ac:dyDescent="0.25">
      <c r="A30" s="707">
        <v>100</v>
      </c>
      <c r="B30" s="249" t="s">
        <v>294</v>
      </c>
      <c r="C30" s="856" t="s">
        <v>293</v>
      </c>
      <c r="D30" s="277">
        <v>0.25</v>
      </c>
      <c r="E30" s="857" t="s">
        <v>35</v>
      </c>
      <c r="F30" s="671">
        <v>2</v>
      </c>
      <c r="G30" s="671"/>
      <c r="H30" s="671"/>
      <c r="I30" s="277">
        <f t="shared" si="0"/>
        <v>0.5</v>
      </c>
      <c r="J30" s="57"/>
      <c r="K30" s="57"/>
      <c r="L30" s="57"/>
      <c r="M30" s="57"/>
      <c r="N30" s="57"/>
      <c r="O30" s="723"/>
    </row>
    <row r="31" spans="1:15" x14ac:dyDescent="0.25">
      <c r="A31" s="719"/>
      <c r="B31" s="24"/>
      <c r="C31" s="24"/>
      <c r="D31" s="24"/>
      <c r="E31" s="24"/>
      <c r="F31" s="24"/>
      <c r="G31" s="24"/>
      <c r="H31" s="259" t="s">
        <v>18</v>
      </c>
      <c r="I31" s="238">
        <f>SUM(I23:I25)</f>
        <v>4.24</v>
      </c>
      <c r="J31" s="57"/>
      <c r="K31" s="57"/>
      <c r="L31" s="57"/>
      <c r="M31" s="57"/>
      <c r="N31" s="57"/>
      <c r="O31" s="723"/>
    </row>
    <row r="32" spans="1:15" x14ac:dyDescent="0.25">
      <c r="A32" s="841"/>
      <c r="B32" s="57"/>
      <c r="C32" s="57"/>
      <c r="D32" s="57"/>
      <c r="E32" s="57"/>
      <c r="F32" s="57"/>
      <c r="G32" s="57"/>
      <c r="H32" s="57"/>
      <c r="I32" s="57"/>
      <c r="J32" s="57"/>
      <c r="K32" s="57"/>
      <c r="L32" s="57"/>
      <c r="M32" s="57"/>
      <c r="N32" s="57"/>
      <c r="O32" s="723"/>
    </row>
    <row r="33" spans="1:15" x14ac:dyDescent="0.25">
      <c r="A33" s="703" t="s">
        <v>14</v>
      </c>
      <c r="B33" s="95" t="s">
        <v>36</v>
      </c>
      <c r="C33" s="95" t="s">
        <v>20</v>
      </c>
      <c r="D33" s="95" t="s">
        <v>21</v>
      </c>
      <c r="E33" s="95" t="s">
        <v>22</v>
      </c>
      <c r="F33" s="95" t="s">
        <v>23</v>
      </c>
      <c r="G33" s="95" t="s">
        <v>24</v>
      </c>
      <c r="H33" s="95" t="s">
        <v>25</v>
      </c>
      <c r="I33" s="95" t="s">
        <v>17</v>
      </c>
      <c r="J33" s="95" t="s">
        <v>18</v>
      </c>
      <c r="K33" s="57"/>
      <c r="L33" s="57"/>
      <c r="M33" s="57"/>
      <c r="N33" s="57"/>
      <c r="O33" s="723"/>
    </row>
    <row r="34" spans="1:15" x14ac:dyDescent="0.25">
      <c r="A34" s="714">
        <v>10</v>
      </c>
      <c r="B34" s="72" t="s">
        <v>295</v>
      </c>
      <c r="C34" s="72" t="s">
        <v>362</v>
      </c>
      <c r="D34" s="659">
        <f>0.8/105154*E34^2*G34*SQRT(G34)+0.003*EXP(0.319*E34)</f>
        <v>0.13931812332052654</v>
      </c>
      <c r="E34" s="660">
        <v>8</v>
      </c>
      <c r="F34" s="660" t="s">
        <v>30</v>
      </c>
      <c r="G34" s="660">
        <v>35</v>
      </c>
      <c r="H34" s="660" t="s">
        <v>30</v>
      </c>
      <c r="I34" s="82">
        <v>2</v>
      </c>
      <c r="J34" s="74">
        <f>I34*D34</f>
        <v>0.27863624664105308</v>
      </c>
      <c r="K34" s="57"/>
      <c r="L34" s="57"/>
      <c r="M34" s="57"/>
      <c r="N34" s="57"/>
      <c r="O34" s="723"/>
    </row>
    <row r="35" spans="1:15" x14ac:dyDescent="0.25">
      <c r="A35" s="714">
        <v>20</v>
      </c>
      <c r="B35" s="72" t="s">
        <v>297</v>
      </c>
      <c r="C35" s="72" t="s">
        <v>362</v>
      </c>
      <c r="D35" s="659">
        <v>0.01</v>
      </c>
      <c r="E35" s="72">
        <v>8</v>
      </c>
      <c r="F35" s="661" t="s">
        <v>30</v>
      </c>
      <c r="G35" s="72"/>
      <c r="H35" s="72"/>
      <c r="I35" s="82">
        <v>4</v>
      </c>
      <c r="J35" s="74">
        <f>I35*D35</f>
        <v>0.04</v>
      </c>
      <c r="K35" s="57"/>
      <c r="L35" s="57"/>
      <c r="M35" s="57"/>
      <c r="N35" s="57"/>
      <c r="O35" s="723"/>
    </row>
    <row r="36" spans="1:15" x14ac:dyDescent="0.25">
      <c r="A36" s="714">
        <v>30</v>
      </c>
      <c r="B36" s="72" t="s">
        <v>298</v>
      </c>
      <c r="C36" s="72" t="s">
        <v>362</v>
      </c>
      <c r="D36" s="659">
        <f>0.009*EXP(0.2*E36)</f>
        <v>4.4577291819556032E-2</v>
      </c>
      <c r="E36" s="72">
        <v>8</v>
      </c>
      <c r="F36" s="661" t="s">
        <v>30</v>
      </c>
      <c r="G36" s="72"/>
      <c r="H36" s="72"/>
      <c r="I36" s="82">
        <v>2</v>
      </c>
      <c r="J36" s="74">
        <f>I36*D36</f>
        <v>8.9154583639112064E-2</v>
      </c>
      <c r="K36" s="57"/>
      <c r="L36" s="57"/>
      <c r="M36" s="57"/>
      <c r="N36" s="57"/>
      <c r="O36" s="723"/>
    </row>
    <row r="37" spans="1:15" x14ac:dyDescent="0.25">
      <c r="A37" s="719"/>
      <c r="B37" s="24"/>
      <c r="C37" s="24"/>
      <c r="D37" s="24"/>
      <c r="E37" s="24"/>
      <c r="F37" s="24"/>
      <c r="G37" s="24"/>
      <c r="H37" s="24"/>
      <c r="I37" s="98" t="s">
        <v>18</v>
      </c>
      <c r="J37" s="97">
        <f>SUM(J34:J36)</f>
        <v>0.40779083028016511</v>
      </c>
      <c r="K37" s="57"/>
      <c r="L37" s="57"/>
      <c r="M37" s="57"/>
      <c r="N37" s="57"/>
      <c r="O37" s="723"/>
    </row>
    <row r="38" spans="1:15" x14ac:dyDescent="0.25">
      <c r="A38" s="841"/>
      <c r="B38" s="57"/>
      <c r="C38" s="57"/>
      <c r="D38" s="57"/>
      <c r="E38" s="57"/>
      <c r="F38" s="57"/>
      <c r="G38" s="57"/>
      <c r="H38" s="57"/>
      <c r="I38" s="57"/>
      <c r="J38" s="57"/>
      <c r="K38" s="57"/>
      <c r="L38" s="57"/>
      <c r="M38" s="57"/>
      <c r="N38" s="57"/>
      <c r="O38" s="723"/>
    </row>
    <row r="39" spans="1:15" x14ac:dyDescent="0.25">
      <c r="A39" s="703" t="s">
        <v>14</v>
      </c>
      <c r="B39" s="95" t="s">
        <v>179</v>
      </c>
      <c r="C39" s="95" t="s">
        <v>20</v>
      </c>
      <c r="D39" s="95" t="s">
        <v>21</v>
      </c>
      <c r="E39" s="95" t="s">
        <v>32</v>
      </c>
      <c r="F39" s="95" t="s">
        <v>17</v>
      </c>
      <c r="G39" s="95" t="s">
        <v>180</v>
      </c>
      <c r="H39" s="95" t="s">
        <v>181</v>
      </c>
      <c r="I39" s="95" t="s">
        <v>18</v>
      </c>
      <c r="J39" s="24"/>
      <c r="K39" s="57"/>
      <c r="L39" s="57"/>
      <c r="M39" s="57"/>
      <c r="N39" s="57"/>
      <c r="O39" s="723"/>
    </row>
    <row r="40" spans="1:15" x14ac:dyDescent="0.25">
      <c r="A40" s="714">
        <v>10</v>
      </c>
      <c r="B40" s="72" t="s">
        <v>182</v>
      </c>
      <c r="C40" s="858" t="s">
        <v>299</v>
      </c>
      <c r="D40" s="74">
        <v>500</v>
      </c>
      <c r="E40" s="72" t="s">
        <v>184</v>
      </c>
      <c r="F40" s="72">
        <v>2</v>
      </c>
      <c r="G40" s="72">
        <v>3000</v>
      </c>
      <c r="H40" s="72">
        <v>1</v>
      </c>
      <c r="I40" s="74">
        <f>D40*F40/G40*H40</f>
        <v>0.33333333333333331</v>
      </c>
      <c r="J40" s="24"/>
      <c r="K40" s="57"/>
      <c r="L40" s="57"/>
      <c r="M40" s="57"/>
      <c r="N40" s="57"/>
      <c r="O40" s="723"/>
    </row>
    <row r="41" spans="1:15" x14ac:dyDescent="0.25">
      <c r="A41" s="719"/>
      <c r="B41" s="24"/>
      <c r="C41" s="24"/>
      <c r="D41" s="24"/>
      <c r="E41" s="24"/>
      <c r="F41" s="24"/>
      <c r="G41" s="24"/>
      <c r="H41" s="259" t="s">
        <v>18</v>
      </c>
      <c r="I41" s="238">
        <f>SUM(I40:I40)</f>
        <v>0.33333333333333331</v>
      </c>
      <c r="J41" s="24"/>
      <c r="K41" s="57"/>
      <c r="L41" s="57"/>
      <c r="M41" s="57"/>
      <c r="N41" s="57"/>
      <c r="O41" s="723"/>
    </row>
    <row r="42" spans="1:15" ht="15.75" thickBot="1" x14ac:dyDescent="0.3">
      <c r="A42" s="859"/>
      <c r="B42" s="860"/>
      <c r="C42" s="860"/>
      <c r="D42" s="860"/>
      <c r="E42" s="860"/>
      <c r="F42" s="860"/>
      <c r="G42" s="860"/>
      <c r="H42" s="860"/>
      <c r="I42" s="860"/>
      <c r="J42" s="860"/>
      <c r="K42" s="860"/>
      <c r="L42" s="860"/>
      <c r="M42" s="860"/>
      <c r="N42" s="860"/>
      <c r="O42" s="861"/>
    </row>
    <row r="43" spans="1:15" x14ac:dyDescent="0.25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  <row r="45" spans="1:15" x14ac:dyDescent="0.25">
      <c r="B45" s="56"/>
      <c r="C45" s="56"/>
      <c r="D45" s="56"/>
      <c r="E45" s="56"/>
      <c r="F45" s="56"/>
    </row>
    <row r="46" spans="1:15" x14ac:dyDescent="0.25">
      <c r="B46" s="56"/>
      <c r="C46" s="663"/>
      <c r="D46" s="663"/>
      <c r="E46" s="56"/>
      <c r="F46" s="56"/>
    </row>
    <row r="47" spans="1:15" x14ac:dyDescent="0.25">
      <c r="B47" s="56"/>
      <c r="C47" s="663"/>
      <c r="D47" s="663"/>
      <c r="E47" s="56"/>
      <c r="F47" s="56"/>
    </row>
    <row r="48" spans="1:15" x14ac:dyDescent="0.25">
      <c r="B48" s="56"/>
      <c r="C48" s="664"/>
      <c r="D48" s="663"/>
      <c r="E48" s="56"/>
      <c r="F48" s="56"/>
    </row>
    <row r="49" spans="2:6" x14ac:dyDescent="0.25">
      <c r="B49" s="56"/>
      <c r="C49" s="664"/>
      <c r="D49" s="663"/>
      <c r="E49" s="56"/>
      <c r="F49" s="56"/>
    </row>
    <row r="50" spans="2:6" x14ac:dyDescent="0.25">
      <c r="B50" s="56"/>
      <c r="C50" s="664"/>
      <c r="D50" s="663"/>
      <c r="E50" s="56"/>
      <c r="F50" s="56"/>
    </row>
    <row r="51" spans="2:6" x14ac:dyDescent="0.25">
      <c r="B51" s="56"/>
      <c r="C51" s="664"/>
      <c r="D51" s="663"/>
      <c r="E51" s="56"/>
      <c r="F51" s="56"/>
    </row>
    <row r="52" spans="2:6" x14ac:dyDescent="0.25">
      <c r="B52" s="56"/>
      <c r="C52" s="664"/>
      <c r="D52" s="663"/>
      <c r="E52" s="56"/>
      <c r="F52" s="56"/>
    </row>
  </sheetData>
  <hyperlinks>
    <hyperlink ref="B10" location="SU_07001" display="Shock Rear Bracket" xr:uid="{00000000-0004-0000-5E00-000000000000}"/>
    <hyperlink ref="E2" location="SU_A0700_BOM" display="Back to BOM" xr:uid="{00000000-0004-0000-5E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5" firstPageNumber="0" fitToHeight="99" orientation="landscape" r:id="rId1"/>
  <headerFooter>
    <oddFooter>Page &amp;P</oddFooter>
  </headerFooter>
  <rowBreaks count="1" manualBreakCount="1">
    <brk id="42" max="16383" man="1"/>
  </rowBreaks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F00-000000000000}">
  <sheetPr>
    <tabColor rgb="FFFFFF66"/>
    <pageSetUpPr fitToPage="1"/>
  </sheetPr>
  <dimension ref="A1:O23"/>
  <sheetViews>
    <sheetView zoomScale="75" zoomScaleNormal="75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17.28515625" customWidth="1"/>
    <col min="3" max="3" width="16.85546875" customWidth="1"/>
    <col min="7" max="7" width="13.85546875" customWidth="1"/>
    <col min="9" max="9" width="26.28515625" customWidth="1"/>
    <col min="10" max="10" width="12" bestFit="1" customWidth="1"/>
    <col min="15" max="15" width="3.140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SU_07001_m+SU_07001_p</f>
        <v>5.9234014172552163</v>
      </c>
      <c r="O2" s="62"/>
    </row>
    <row r="3" spans="1:15" x14ac:dyDescent="0.25">
      <c r="A3" s="99" t="s">
        <v>3</v>
      </c>
      <c r="B3" s="16" t="str">
        <f>'SU A0700'!B3</f>
        <v>Suspension &amp; Shocks</v>
      </c>
      <c r="C3" s="56"/>
      <c r="D3" s="99" t="s">
        <v>6</v>
      </c>
      <c r="E3" s="275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5" x14ac:dyDescent="0.25">
      <c r="A4" s="99" t="s">
        <v>5</v>
      </c>
      <c r="B4" s="87" t="str">
        <f>'SU A0700'!B4</f>
        <v>Rear suspension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25">
      <c r="A5" s="99" t="s">
        <v>15</v>
      </c>
      <c r="B5" s="18" t="s">
        <v>364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5.9234014172552163</v>
      </c>
      <c r="O5" s="62"/>
    </row>
    <row r="6" spans="1:15" x14ac:dyDescent="0.25">
      <c r="A6" s="99" t="s">
        <v>7</v>
      </c>
      <c r="B6" s="56" t="s">
        <v>363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25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99" t="s">
        <v>13</v>
      </c>
      <c r="B8" s="16" t="s">
        <v>300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s="22" customFormat="1" x14ac:dyDescent="0.25">
      <c r="A11" s="85">
        <v>10</v>
      </c>
      <c r="B11" s="665" t="s">
        <v>301</v>
      </c>
      <c r="C11" s="20" t="s">
        <v>302</v>
      </c>
      <c r="D11" s="277">
        <v>2.25</v>
      </c>
      <c r="E11" s="666">
        <f>J11*K11*L11</f>
        <v>0.17182285211342935</v>
      </c>
      <c r="F11" s="20" t="s">
        <v>141</v>
      </c>
      <c r="G11" s="20"/>
      <c r="H11" s="278"/>
      <c r="I11" s="21" t="s">
        <v>303</v>
      </c>
      <c r="J11" s="667">
        <f>PI()*0.0155^2</f>
        <v>7.5476763502494771E-4</v>
      </c>
      <c r="K11" s="668">
        <v>2.9000000000000001E-2</v>
      </c>
      <c r="L11" s="669">
        <v>7850</v>
      </c>
      <c r="M11" s="23">
        <v>1</v>
      </c>
      <c r="N11" s="277">
        <f>E11*D11</f>
        <v>0.38660141725521602</v>
      </c>
      <c r="O11" s="66"/>
    </row>
    <row r="12" spans="1:15" x14ac:dyDescent="0.25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0.38660141725521602</v>
      </c>
      <c r="O12" s="62"/>
    </row>
    <row r="13" spans="1:15" x14ac:dyDescent="0.25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25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670"/>
      <c r="L14" s="24"/>
      <c r="M14" s="24"/>
      <c r="N14" s="24"/>
      <c r="O14" s="62"/>
    </row>
    <row r="15" spans="1:15" s="25" customFormat="1" x14ac:dyDescent="0.25">
      <c r="A15" s="778">
        <v>10</v>
      </c>
      <c r="B15" s="677" t="s">
        <v>39</v>
      </c>
      <c r="C15" s="676" t="s">
        <v>68</v>
      </c>
      <c r="D15" s="277">
        <v>1.3</v>
      </c>
      <c r="E15" s="677" t="s">
        <v>35</v>
      </c>
      <c r="F15" s="676">
        <v>1</v>
      </c>
      <c r="G15" s="676"/>
      <c r="H15" s="676"/>
      <c r="I15" s="277">
        <f t="shared" ref="I15:I19" si="0">IF(H15="",D15*F15,D15*F15*H15)</f>
        <v>1.3</v>
      </c>
      <c r="J15" s="58"/>
      <c r="K15" s="58"/>
      <c r="L15" s="58"/>
      <c r="M15" s="58"/>
      <c r="N15" s="58"/>
      <c r="O15" s="68"/>
    </row>
    <row r="16" spans="1:15" x14ac:dyDescent="0.25">
      <c r="A16" s="85">
        <v>11</v>
      </c>
      <c r="B16" s="677" t="s">
        <v>92</v>
      </c>
      <c r="C16" s="20" t="s">
        <v>304</v>
      </c>
      <c r="D16" s="277">
        <v>0.04</v>
      </c>
      <c r="E16" s="20" t="s">
        <v>93</v>
      </c>
      <c r="F16" s="779">
        <v>2.64</v>
      </c>
      <c r="G16" s="677" t="s">
        <v>305</v>
      </c>
      <c r="H16" s="676">
        <v>3</v>
      </c>
      <c r="I16" s="277">
        <f t="shared" si="0"/>
        <v>0.31680000000000003</v>
      </c>
      <c r="J16" s="56"/>
      <c r="K16" s="56"/>
      <c r="L16" s="56"/>
      <c r="M16" s="56"/>
      <c r="N16" s="56"/>
      <c r="O16" s="62"/>
    </row>
    <row r="17" spans="1:15" s="17" customFormat="1" x14ac:dyDescent="0.25">
      <c r="A17" s="778">
        <v>20</v>
      </c>
      <c r="B17" s="677" t="s">
        <v>306</v>
      </c>
      <c r="C17" s="676"/>
      <c r="D17" s="277">
        <v>0.65</v>
      </c>
      <c r="E17" s="677"/>
      <c r="F17" s="676">
        <v>1</v>
      </c>
      <c r="G17" s="676"/>
      <c r="H17" s="676"/>
      <c r="I17" s="277">
        <f t="shared" si="0"/>
        <v>0.65</v>
      </c>
      <c r="J17" s="57"/>
      <c r="K17" s="57"/>
      <c r="L17" s="57"/>
      <c r="M17" s="57"/>
      <c r="N17" s="57"/>
      <c r="O17" s="65"/>
    </row>
    <row r="18" spans="1:15" x14ac:dyDescent="0.25">
      <c r="A18" s="85">
        <v>21</v>
      </c>
      <c r="B18" s="677" t="s">
        <v>92</v>
      </c>
      <c r="C18" s="20" t="s">
        <v>304</v>
      </c>
      <c r="D18" s="277">
        <v>0.04</v>
      </c>
      <c r="E18" s="20" t="s">
        <v>93</v>
      </c>
      <c r="F18" s="779">
        <v>9.1999999999999993</v>
      </c>
      <c r="G18" s="677" t="s">
        <v>305</v>
      </c>
      <c r="H18" s="676">
        <v>3</v>
      </c>
      <c r="I18" s="277">
        <f t="shared" si="0"/>
        <v>1.1040000000000001</v>
      </c>
      <c r="J18" s="56"/>
      <c r="K18" s="56"/>
      <c r="L18" s="56"/>
      <c r="M18" s="56"/>
      <c r="N18" s="56"/>
      <c r="O18" s="62"/>
    </row>
    <row r="19" spans="1:15" x14ac:dyDescent="0.25">
      <c r="A19" s="778">
        <v>22</v>
      </c>
      <c r="B19" s="677" t="s">
        <v>306</v>
      </c>
      <c r="C19" s="676"/>
      <c r="D19" s="277">
        <v>0.65</v>
      </c>
      <c r="E19" s="677"/>
      <c r="F19" s="676">
        <v>1</v>
      </c>
      <c r="G19" s="676"/>
      <c r="H19" s="676"/>
      <c r="I19" s="277">
        <f t="shared" si="0"/>
        <v>0.65</v>
      </c>
      <c r="J19" s="56"/>
      <c r="K19" s="56"/>
      <c r="L19" s="56"/>
      <c r="M19" s="56"/>
      <c r="N19" s="56"/>
      <c r="O19" s="62"/>
    </row>
    <row r="20" spans="1:15" x14ac:dyDescent="0.25">
      <c r="A20" s="85">
        <v>23</v>
      </c>
      <c r="B20" s="677" t="s">
        <v>92</v>
      </c>
      <c r="C20" s="20" t="s">
        <v>304</v>
      </c>
      <c r="D20" s="277">
        <v>0.04</v>
      </c>
      <c r="E20" s="20" t="s">
        <v>93</v>
      </c>
      <c r="F20" s="779">
        <v>6.8</v>
      </c>
      <c r="G20" s="677" t="s">
        <v>305</v>
      </c>
      <c r="H20" s="676">
        <v>3</v>
      </c>
      <c r="I20" s="277">
        <f>IF(H20="",D20*F20,D20*F20*H20)</f>
        <v>0.81600000000000006</v>
      </c>
      <c r="J20" s="56"/>
      <c r="K20" s="56"/>
      <c r="L20" s="56"/>
      <c r="M20" s="56"/>
      <c r="N20" s="56"/>
      <c r="O20" s="62"/>
    </row>
    <row r="21" spans="1:15" x14ac:dyDescent="0.25">
      <c r="A21" s="20">
        <v>30</v>
      </c>
      <c r="B21" s="678" t="s">
        <v>307</v>
      </c>
      <c r="C21" s="20" t="s">
        <v>304</v>
      </c>
      <c r="D21" s="277">
        <v>0.35</v>
      </c>
      <c r="E21" s="20" t="s">
        <v>198</v>
      </c>
      <c r="F21" s="779">
        <v>2</v>
      </c>
      <c r="G21" s="677"/>
      <c r="H21" s="780"/>
      <c r="I21" s="673">
        <f>IF(H21="",D21*F21,D21*F21*H21)</f>
        <v>0.7</v>
      </c>
      <c r="J21" s="56"/>
      <c r="K21" s="56"/>
      <c r="L21" s="56"/>
      <c r="M21" s="56"/>
      <c r="N21" s="56"/>
      <c r="O21" s="62"/>
    </row>
    <row r="22" spans="1:15" x14ac:dyDescent="0.25">
      <c r="A22" s="67"/>
      <c r="B22" s="24"/>
      <c r="C22" s="24"/>
      <c r="D22" s="24"/>
      <c r="E22" s="24"/>
      <c r="F22" s="24"/>
      <c r="G22" s="24"/>
      <c r="H22" s="108" t="s">
        <v>18</v>
      </c>
      <c r="I22" s="106">
        <f>SUM(I15:I21)</f>
        <v>5.5368000000000004</v>
      </c>
      <c r="J22" s="24"/>
      <c r="K22" s="24"/>
      <c r="L22" s="24"/>
      <c r="M22" s="24"/>
      <c r="N22" s="24"/>
      <c r="O22" s="62"/>
    </row>
    <row r="23" spans="1:15" ht="15.75" thickBot="1" x14ac:dyDescent="0.3">
      <c r="A23" s="69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1"/>
    </row>
  </sheetData>
  <hyperlinks>
    <hyperlink ref="B4" location="SU_A0700" display="SU_A0700" xr:uid="{00000000-0004-0000-5F00-000000000000}"/>
    <hyperlink ref="E3" location="dSU_07001" display="Drawing" xr:uid="{00000000-0004-0000-5F00-000001000000}"/>
    <hyperlink ref="B6" location="SU_A0500" display="SU 510_001" xr:uid="{00000000-0004-0000-5F00-000002000000}"/>
    <hyperlink ref="G2" location="SU_A0700_BOM" display="Back to BOM" xr:uid="{00000000-0004-0000-5F00-000003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2" firstPageNumber="0" fitToHeight="99" orientation="landscape" r:id="rId1"/>
  <headerFooter>
    <oddFooter>Page &amp;P</oddFooter>
  </headerFooter>
  <rowBreaks count="2" manualBreakCount="2">
    <brk id="23" max="16383" man="1"/>
    <brk id="57" max="16383" man="1"/>
  </rowBreaks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000-000000000000}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5" x14ac:dyDescent="0.25"/>
  <cols>
    <col min="1" max="1" width="14" customWidth="1"/>
  </cols>
  <sheetData>
    <row r="1" spans="1:2" x14ac:dyDescent="0.25">
      <c r="A1" t="s">
        <v>124</v>
      </c>
      <c r="B1" s="275" t="s">
        <v>365</v>
      </c>
    </row>
  </sheetData>
  <hyperlinks>
    <hyperlink ref="B1" location="SU_07001" display="SU_07001" xr:uid="{00000000-0004-0000-6000-000000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100-000000000000}">
  <sheetPr>
    <tabColor rgb="FFFFFF00"/>
    <pageSetUpPr fitToPage="1"/>
  </sheetPr>
  <dimension ref="A1:O43"/>
  <sheetViews>
    <sheetView zoomScale="75" zoomScaleNormal="75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2" max="2" width="35.28515625" customWidth="1"/>
    <col min="3" max="3" width="45.85546875" customWidth="1"/>
    <col min="15" max="15" width="5.28515625" customWidth="1"/>
  </cols>
  <sheetData>
    <row r="1" spans="1:15" x14ac:dyDescent="0.25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25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SU_A0800_pa+SU_A0800_m+SU_A0800_p+SU_A0800_f+SU_A0800_t</f>
        <v>15.066700055803517</v>
      </c>
      <c r="O2" s="62"/>
    </row>
    <row r="3" spans="1:15" x14ac:dyDescent="0.25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25">
      <c r="A4" s="95" t="s">
        <v>5</v>
      </c>
      <c r="B4" s="57" t="s">
        <v>368</v>
      </c>
      <c r="C4" s="704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62"/>
    </row>
    <row r="5" spans="1:15" x14ac:dyDescent="0.25">
      <c r="A5" s="95" t="s">
        <v>7</v>
      </c>
      <c r="B5" s="18" t="s">
        <v>369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74">
        <f>N2*SU_A0800_q</f>
        <v>30.133400111607035</v>
      </c>
      <c r="O5" s="62"/>
    </row>
    <row r="6" spans="1:15" x14ac:dyDescent="0.25">
      <c r="A6" s="95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62"/>
    </row>
    <row r="7" spans="1:15" x14ac:dyDescent="0.25">
      <c r="A7" s="95" t="s">
        <v>13</v>
      </c>
      <c r="B7" s="16" t="s">
        <v>370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25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25">
      <c r="A9" s="633" t="s">
        <v>14</v>
      </c>
      <c r="B9" s="633" t="s">
        <v>15</v>
      </c>
      <c r="C9" s="633" t="s">
        <v>16</v>
      </c>
      <c r="D9" s="633" t="s">
        <v>17</v>
      </c>
      <c r="E9" s="633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25">
      <c r="A10" s="671">
        <v>10</v>
      </c>
      <c r="B10" s="708" t="s">
        <v>311</v>
      </c>
      <c r="C10" s="277">
        <f>'SU 08001'!N2</f>
        <v>1.3710986506763019</v>
      </c>
      <c r="D10" s="834">
        <f>SU_08001_q</f>
        <v>2</v>
      </c>
      <c r="E10" s="277">
        <f>C10*D10</f>
        <v>2.7421973013526038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25">
      <c r="A11" s="671">
        <v>20</v>
      </c>
      <c r="B11" s="711" t="s">
        <v>313</v>
      </c>
      <c r="C11" s="277">
        <f>'SU 08002'!N2</f>
        <v>2.0644187499999997</v>
      </c>
      <c r="D11" s="834">
        <f>SU_08002_q</f>
        <v>2</v>
      </c>
      <c r="E11" s="277">
        <f>C11*D11</f>
        <v>4.1288374999999995</v>
      </c>
      <c r="F11" s="57"/>
      <c r="G11" s="57"/>
      <c r="H11" s="57"/>
      <c r="I11" s="57"/>
      <c r="J11" s="57"/>
      <c r="K11" s="57"/>
      <c r="L11" s="57"/>
      <c r="M11" s="57"/>
      <c r="N11" s="57"/>
      <c r="O11" s="64"/>
    </row>
    <row r="12" spans="1:15" x14ac:dyDescent="0.25">
      <c r="A12" s="782">
        <v>30</v>
      </c>
      <c r="B12" s="708" t="s">
        <v>367</v>
      </c>
      <c r="C12" s="277">
        <f>'SU 08003'!N2</f>
        <v>3.3779399999999997</v>
      </c>
      <c r="D12" s="834">
        <f>SU_08003_q</f>
        <v>1</v>
      </c>
      <c r="E12" s="277">
        <f>C12*D12</f>
        <v>3.3779399999999997</v>
      </c>
    </row>
    <row r="13" spans="1:15" x14ac:dyDescent="0.25">
      <c r="A13" s="63"/>
      <c r="B13" s="56"/>
      <c r="C13" s="56"/>
      <c r="D13" s="259" t="s">
        <v>18</v>
      </c>
      <c r="E13" s="238">
        <f>SUM(E10:E12)</f>
        <v>10.248974801352603</v>
      </c>
      <c r="F13" s="57"/>
      <c r="G13" s="57"/>
      <c r="H13" s="57"/>
      <c r="I13" s="57"/>
      <c r="J13" s="57"/>
      <c r="K13" s="57"/>
      <c r="L13" s="57"/>
      <c r="M13" s="57"/>
      <c r="N13" s="57"/>
      <c r="O13" s="62"/>
    </row>
    <row r="14" spans="1:15" x14ac:dyDescent="0.25">
      <c r="A14" s="63"/>
      <c r="B14" s="56"/>
      <c r="C14" s="56"/>
      <c r="D14" s="56"/>
      <c r="E14" s="56"/>
      <c r="F14" s="56"/>
      <c r="G14" s="56"/>
      <c r="H14" s="56"/>
      <c r="I14" s="56"/>
      <c r="J14" s="56"/>
      <c r="K14" s="56"/>
      <c r="L14" s="56"/>
      <c r="M14" s="56"/>
      <c r="N14" s="56"/>
      <c r="O14" s="62"/>
    </row>
    <row r="15" spans="1:15" x14ac:dyDescent="0.25">
      <c r="A15" s="95" t="s">
        <v>14</v>
      </c>
      <c r="B15" s="95" t="s">
        <v>19</v>
      </c>
      <c r="C15" s="95" t="s">
        <v>20</v>
      </c>
      <c r="D15" s="95" t="s">
        <v>21</v>
      </c>
      <c r="E15" s="95" t="s">
        <v>22</v>
      </c>
      <c r="F15" s="95" t="s">
        <v>23</v>
      </c>
      <c r="G15" s="95" t="s">
        <v>24</v>
      </c>
      <c r="H15" s="95" t="s">
        <v>25</v>
      </c>
      <c r="I15" s="95" t="s">
        <v>26</v>
      </c>
      <c r="J15" s="95" t="s">
        <v>27</v>
      </c>
      <c r="K15" s="95" t="s">
        <v>28</v>
      </c>
      <c r="L15" s="95" t="s">
        <v>29</v>
      </c>
      <c r="M15" s="95" t="s">
        <v>17</v>
      </c>
      <c r="N15" s="95" t="s">
        <v>18</v>
      </c>
      <c r="O15" s="62"/>
    </row>
    <row r="16" spans="1:15" x14ac:dyDescent="0.25">
      <c r="A16" s="72">
        <v>10</v>
      </c>
      <c r="B16" s="72" t="s">
        <v>276</v>
      </c>
      <c r="C16" s="72" t="s">
        <v>318</v>
      </c>
      <c r="D16" s="74">
        <v>10</v>
      </c>
      <c r="E16" s="72">
        <v>5.0000000000000001E-3</v>
      </c>
      <c r="F16" s="72" t="s">
        <v>202</v>
      </c>
      <c r="G16" s="72"/>
      <c r="H16" s="75"/>
      <c r="I16" s="76"/>
      <c r="J16" s="77"/>
      <c r="K16" s="75"/>
      <c r="L16" s="75"/>
      <c r="M16" s="835">
        <v>2</v>
      </c>
      <c r="N16" s="74">
        <f>M16*D16*E16</f>
        <v>0.1</v>
      </c>
      <c r="O16" s="62"/>
    </row>
    <row r="17" spans="1:15" s="22" customFormat="1" x14ac:dyDescent="0.25">
      <c r="A17" s="72">
        <v>20</v>
      </c>
      <c r="B17" s="72" t="s">
        <v>276</v>
      </c>
      <c r="C17" s="715" t="s">
        <v>319</v>
      </c>
      <c r="D17" s="74">
        <v>10</v>
      </c>
      <c r="E17" s="716">
        <v>5.0000000000000001E-3</v>
      </c>
      <c r="F17" s="716" t="s">
        <v>202</v>
      </c>
      <c r="G17" s="716"/>
      <c r="H17" s="75"/>
      <c r="I17" s="717"/>
      <c r="J17" s="94"/>
      <c r="K17" s="78"/>
      <c r="L17" s="79"/>
      <c r="M17" s="835">
        <v>2</v>
      </c>
      <c r="N17" s="74">
        <f>M17*D17*E17</f>
        <v>0.1</v>
      </c>
      <c r="O17" s="66"/>
    </row>
    <row r="18" spans="1:15" x14ac:dyDescent="0.25">
      <c r="A18" s="67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95" t="s">
        <v>18</v>
      </c>
      <c r="N18" s="97">
        <f>SUM(N16:N17)</f>
        <v>0.2</v>
      </c>
      <c r="O18" s="62"/>
    </row>
    <row r="19" spans="1:15" x14ac:dyDescent="0.25">
      <c r="A19" s="63"/>
      <c r="B19" s="56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6"/>
      <c r="N19" s="56"/>
      <c r="O19" s="62"/>
    </row>
    <row r="20" spans="1:15" s="25" customFormat="1" x14ac:dyDescent="0.25">
      <c r="A20" s="95" t="s">
        <v>14</v>
      </c>
      <c r="B20" s="95" t="s">
        <v>31</v>
      </c>
      <c r="C20" s="95" t="s">
        <v>20</v>
      </c>
      <c r="D20" s="95" t="s">
        <v>21</v>
      </c>
      <c r="E20" s="95" t="s">
        <v>32</v>
      </c>
      <c r="F20" s="95" t="s">
        <v>17</v>
      </c>
      <c r="G20" s="95" t="s">
        <v>33</v>
      </c>
      <c r="H20" s="95" t="s">
        <v>34</v>
      </c>
      <c r="I20" s="95" t="s">
        <v>18</v>
      </c>
      <c r="J20" s="24"/>
      <c r="K20" s="24"/>
      <c r="L20" s="24"/>
      <c r="M20" s="24"/>
      <c r="N20" s="24"/>
      <c r="O20" s="68"/>
    </row>
    <row r="21" spans="1:15" x14ac:dyDescent="0.25">
      <c r="A21" s="72">
        <v>10</v>
      </c>
      <c r="B21" s="72" t="s">
        <v>160</v>
      </c>
      <c r="C21" s="72" t="s">
        <v>320</v>
      </c>
      <c r="D21" s="74">
        <v>0.15</v>
      </c>
      <c r="E21" s="72" t="s">
        <v>40</v>
      </c>
      <c r="F21" s="721">
        <f>11.5*2</f>
        <v>23</v>
      </c>
      <c r="G21" s="721"/>
      <c r="H21" s="721"/>
      <c r="I21" s="74">
        <f t="shared" ref="I21:I30" si="0">IF(H21="",D21*F21,D21*F21*H21)</f>
        <v>3.4499999999999997</v>
      </c>
      <c r="J21" s="56"/>
      <c r="K21" s="56"/>
      <c r="L21" s="56"/>
      <c r="M21" s="56"/>
      <c r="N21" s="56"/>
      <c r="O21" s="62"/>
    </row>
    <row r="22" spans="1:15" x14ac:dyDescent="0.25">
      <c r="A22" s="72">
        <v>20</v>
      </c>
      <c r="B22" s="722" t="s">
        <v>280</v>
      </c>
      <c r="C22" s="72" t="s">
        <v>321</v>
      </c>
      <c r="D22" s="74">
        <v>5.25</v>
      </c>
      <c r="E22" s="722" t="s">
        <v>202</v>
      </c>
      <c r="F22" s="721">
        <v>5.0000000000000001E-3</v>
      </c>
      <c r="G22" s="72"/>
      <c r="H22" s="72"/>
      <c r="I22" s="74">
        <f t="shared" si="0"/>
        <v>2.6249999999999999E-2</v>
      </c>
      <c r="J22" s="56"/>
      <c r="K22" s="56"/>
      <c r="L22" s="56"/>
      <c r="M22" s="56"/>
      <c r="N22" s="56"/>
      <c r="O22" s="62"/>
    </row>
    <row r="23" spans="1:15" x14ac:dyDescent="0.25">
      <c r="A23" s="72">
        <v>30</v>
      </c>
      <c r="B23" s="722" t="s">
        <v>280</v>
      </c>
      <c r="C23" s="72" t="s">
        <v>322</v>
      </c>
      <c r="D23" s="74">
        <v>5.25</v>
      </c>
      <c r="E23" s="72" t="s">
        <v>202</v>
      </c>
      <c r="F23" s="721">
        <v>5.0000000000000001E-3</v>
      </c>
      <c r="G23" s="72"/>
      <c r="H23" s="72"/>
      <c r="I23" s="74">
        <f t="shared" si="0"/>
        <v>2.6249999999999999E-2</v>
      </c>
      <c r="J23" s="56"/>
      <c r="K23" s="56"/>
      <c r="L23" s="56"/>
      <c r="M23" s="56"/>
      <c r="N23" s="56"/>
      <c r="O23" s="62"/>
    </row>
    <row r="24" spans="1:15" s="17" customFormat="1" x14ac:dyDescent="0.25">
      <c r="A24" s="72">
        <v>40</v>
      </c>
      <c r="B24" s="722" t="s">
        <v>154</v>
      </c>
      <c r="C24" s="72" t="s">
        <v>371</v>
      </c>
      <c r="D24" s="74">
        <v>0.06</v>
      </c>
      <c r="E24" s="72" t="s">
        <v>35</v>
      </c>
      <c r="F24" s="721">
        <v>2</v>
      </c>
      <c r="G24" s="72"/>
      <c r="H24" s="72"/>
      <c r="I24" s="74">
        <f t="shared" si="0"/>
        <v>0.12</v>
      </c>
      <c r="J24" s="57"/>
      <c r="K24" s="57"/>
      <c r="L24" s="57"/>
      <c r="M24" s="57"/>
      <c r="N24" s="57"/>
      <c r="O24" s="65"/>
    </row>
    <row r="25" spans="1:15" s="25" customFormat="1" x14ac:dyDescent="0.25">
      <c r="A25" s="72">
        <v>50</v>
      </c>
      <c r="B25" s="722" t="s">
        <v>154</v>
      </c>
      <c r="C25" s="72" t="s">
        <v>372</v>
      </c>
      <c r="D25" s="74">
        <v>0.06</v>
      </c>
      <c r="E25" s="72" t="s">
        <v>35</v>
      </c>
      <c r="F25" s="721">
        <v>2</v>
      </c>
      <c r="G25" s="721"/>
      <c r="H25" s="721"/>
      <c r="I25" s="74">
        <f t="shared" si="0"/>
        <v>0.12</v>
      </c>
      <c r="J25" s="57"/>
      <c r="K25" s="57"/>
      <c r="L25" s="57"/>
      <c r="M25" s="57"/>
      <c r="N25" s="57"/>
      <c r="O25" s="68"/>
    </row>
    <row r="26" spans="1:15" s="17" customFormat="1" ht="14.45" customHeight="1" x14ac:dyDescent="0.25">
      <c r="A26" s="232">
        <v>60</v>
      </c>
      <c r="B26" s="725" t="s">
        <v>154</v>
      </c>
      <c r="C26" s="725" t="s">
        <v>325</v>
      </c>
      <c r="D26" s="74">
        <v>0.06</v>
      </c>
      <c r="E26" s="725" t="s">
        <v>35</v>
      </c>
      <c r="F26" s="726">
        <v>2</v>
      </c>
      <c r="G26" s="232"/>
      <c r="H26" s="72"/>
      <c r="I26" s="74">
        <f t="shared" si="0"/>
        <v>0.12</v>
      </c>
      <c r="J26" s="57"/>
      <c r="K26" s="57"/>
      <c r="L26" s="57"/>
      <c r="M26" s="57"/>
      <c r="N26" s="57"/>
      <c r="O26" s="65"/>
    </row>
    <row r="27" spans="1:15" s="17" customFormat="1" ht="14.45" customHeight="1" x14ac:dyDescent="0.25">
      <c r="A27" s="671">
        <v>70</v>
      </c>
      <c r="B27" s="727" t="s">
        <v>289</v>
      </c>
      <c r="C27" s="783" t="s">
        <v>326</v>
      </c>
      <c r="D27" s="277">
        <v>0.12</v>
      </c>
      <c r="E27" s="27" t="s">
        <v>35</v>
      </c>
      <c r="F27" s="26">
        <v>1</v>
      </c>
      <c r="G27" s="671"/>
      <c r="H27" s="728"/>
      <c r="I27" s="74">
        <f t="shared" si="0"/>
        <v>0.12</v>
      </c>
      <c r="J27" s="57"/>
      <c r="K27" s="57"/>
      <c r="L27" s="57"/>
      <c r="M27" s="57"/>
      <c r="N27" s="57"/>
      <c r="O27" s="65"/>
    </row>
    <row r="28" spans="1:15" s="17" customFormat="1" ht="14.45" customHeight="1" x14ac:dyDescent="0.25">
      <c r="A28" s="671">
        <v>80</v>
      </c>
      <c r="B28" s="727" t="s">
        <v>289</v>
      </c>
      <c r="C28" s="784" t="s">
        <v>327</v>
      </c>
      <c r="D28" s="277">
        <v>0.12</v>
      </c>
      <c r="E28" s="27" t="s">
        <v>35</v>
      </c>
      <c r="F28" s="26">
        <v>1</v>
      </c>
      <c r="G28" s="671"/>
      <c r="H28" s="728"/>
      <c r="I28" s="74">
        <f t="shared" si="0"/>
        <v>0.12</v>
      </c>
      <c r="J28" s="57"/>
      <c r="K28" s="57"/>
      <c r="L28" s="57"/>
      <c r="M28" s="57"/>
      <c r="N28" s="57"/>
      <c r="O28" s="65"/>
    </row>
    <row r="29" spans="1:15" s="17" customFormat="1" ht="14.45" customHeight="1" x14ac:dyDescent="0.25">
      <c r="A29" s="671">
        <v>90</v>
      </c>
      <c r="B29" s="727" t="s">
        <v>292</v>
      </c>
      <c r="C29" s="784" t="s">
        <v>293</v>
      </c>
      <c r="D29" s="277">
        <v>0.75</v>
      </c>
      <c r="E29" s="27" t="s">
        <v>35</v>
      </c>
      <c r="F29" s="26">
        <v>1</v>
      </c>
      <c r="G29" s="671"/>
      <c r="H29" s="728"/>
      <c r="I29" s="74">
        <f t="shared" si="0"/>
        <v>0.75</v>
      </c>
      <c r="J29" s="57"/>
      <c r="K29" s="57"/>
      <c r="L29" s="57"/>
      <c r="M29" s="57"/>
      <c r="N29" s="57"/>
      <c r="O29" s="65"/>
    </row>
    <row r="30" spans="1:15" s="17" customFormat="1" ht="14.45" customHeight="1" x14ac:dyDescent="0.25">
      <c r="A30" s="671">
        <v>100</v>
      </c>
      <c r="B30" s="727" t="s">
        <v>294</v>
      </c>
      <c r="C30" s="784" t="s">
        <v>293</v>
      </c>
      <c r="D30" s="277">
        <v>0.25</v>
      </c>
      <c r="E30" s="27" t="s">
        <v>35</v>
      </c>
      <c r="F30" s="26">
        <v>1</v>
      </c>
      <c r="G30" s="671"/>
      <c r="H30" s="728"/>
      <c r="I30" s="74">
        <f t="shared" si="0"/>
        <v>0.25</v>
      </c>
      <c r="J30" s="57"/>
      <c r="K30" s="57"/>
      <c r="L30" s="57"/>
      <c r="M30" s="57"/>
      <c r="N30" s="57"/>
      <c r="O30" s="65"/>
    </row>
    <row r="31" spans="1:15" x14ac:dyDescent="0.25">
      <c r="A31" s="67"/>
      <c r="B31" s="24"/>
      <c r="C31" s="24"/>
      <c r="D31" s="24"/>
      <c r="E31" s="24"/>
      <c r="F31" s="24"/>
      <c r="G31" s="24"/>
      <c r="H31" s="98" t="s">
        <v>18</v>
      </c>
      <c r="I31" s="97">
        <f>SUM(I21:I23)</f>
        <v>3.5024999999999999</v>
      </c>
      <c r="J31" s="56"/>
      <c r="K31" s="56"/>
      <c r="L31" s="56"/>
      <c r="M31" s="56"/>
      <c r="N31" s="56"/>
      <c r="O31" s="62"/>
    </row>
    <row r="32" spans="1:15" x14ac:dyDescent="0.25">
      <c r="A32" s="63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56"/>
      <c r="O32" s="62"/>
    </row>
    <row r="33" spans="1:15" x14ac:dyDescent="0.25">
      <c r="A33" s="95" t="s">
        <v>14</v>
      </c>
      <c r="B33" s="95" t="s">
        <v>36</v>
      </c>
      <c r="C33" s="95" t="s">
        <v>20</v>
      </c>
      <c r="D33" s="95" t="s">
        <v>21</v>
      </c>
      <c r="E33" s="95" t="s">
        <v>22</v>
      </c>
      <c r="F33" s="95" t="s">
        <v>23</v>
      </c>
      <c r="G33" s="95" t="s">
        <v>24</v>
      </c>
      <c r="H33" s="95" t="s">
        <v>25</v>
      </c>
      <c r="I33" s="95" t="s">
        <v>17</v>
      </c>
      <c r="J33" s="95" t="s">
        <v>18</v>
      </c>
      <c r="K33" s="56"/>
      <c r="L33" s="56"/>
      <c r="M33" s="56"/>
      <c r="N33" s="56"/>
      <c r="O33" s="62"/>
    </row>
    <row r="34" spans="1:15" x14ac:dyDescent="0.25">
      <c r="A34" s="72">
        <v>10</v>
      </c>
      <c r="B34" s="72" t="s">
        <v>295</v>
      </c>
      <c r="C34" s="72" t="s">
        <v>328</v>
      </c>
      <c r="D34" s="659">
        <f>0.8/105154*E34^2*G34*SQRT(G34)+0.003*EXP(0.319*E34)</f>
        <v>6.5344202146287819E-2</v>
      </c>
      <c r="E34" s="660">
        <v>6</v>
      </c>
      <c r="F34" s="660" t="s">
        <v>30</v>
      </c>
      <c r="G34" s="660">
        <v>30</v>
      </c>
      <c r="H34" s="660" t="s">
        <v>30</v>
      </c>
      <c r="I34" s="82">
        <v>1</v>
      </c>
      <c r="J34" s="74">
        <f>D34*I34</f>
        <v>6.5344202146287819E-2</v>
      </c>
      <c r="K34" s="56"/>
      <c r="L34" s="56"/>
      <c r="M34" s="56"/>
      <c r="N34" s="56"/>
      <c r="O34" s="62"/>
    </row>
    <row r="35" spans="1:15" x14ac:dyDescent="0.25">
      <c r="A35" s="72">
        <v>20</v>
      </c>
      <c r="B35" s="72" t="s">
        <v>297</v>
      </c>
      <c r="C35" s="72" t="s">
        <v>328</v>
      </c>
      <c r="D35" s="659">
        <v>0.01</v>
      </c>
      <c r="E35" s="72"/>
      <c r="F35" s="661" t="s">
        <v>35</v>
      </c>
      <c r="G35" s="72"/>
      <c r="H35" s="72"/>
      <c r="I35" s="82">
        <v>2</v>
      </c>
      <c r="J35" s="74">
        <f>I35*D35</f>
        <v>0.02</v>
      </c>
      <c r="K35" s="56"/>
      <c r="L35" s="56"/>
      <c r="M35" s="56"/>
      <c r="N35" s="56"/>
      <c r="O35" s="62"/>
    </row>
    <row r="36" spans="1:15" x14ac:dyDescent="0.25">
      <c r="A36" s="72">
        <v>30</v>
      </c>
      <c r="B36" s="72" t="s">
        <v>298</v>
      </c>
      <c r="C36" s="72" t="s">
        <v>328</v>
      </c>
      <c r="D36" s="659">
        <f>0.009*EXP(0.2*E36)</f>
        <v>2.9881052304628931E-2</v>
      </c>
      <c r="E36" s="72">
        <v>6</v>
      </c>
      <c r="F36" s="661" t="s">
        <v>30</v>
      </c>
      <c r="G36" s="72"/>
      <c r="H36" s="72"/>
      <c r="I36" s="82">
        <v>1</v>
      </c>
      <c r="J36" s="74">
        <f>D36*I36</f>
        <v>2.9881052304628931E-2</v>
      </c>
      <c r="K36" s="56"/>
      <c r="L36" s="56"/>
      <c r="M36" s="56"/>
      <c r="N36" s="56"/>
      <c r="O36" s="62"/>
    </row>
    <row r="37" spans="1:15" x14ac:dyDescent="0.25">
      <c r="A37" s="67"/>
      <c r="B37" s="24"/>
      <c r="C37" s="24"/>
      <c r="D37" s="24"/>
      <c r="E37" s="24"/>
      <c r="F37" s="24"/>
      <c r="G37" s="24"/>
      <c r="H37" s="24"/>
      <c r="I37" s="98" t="s">
        <v>18</v>
      </c>
      <c r="J37" s="97">
        <f>SUM(J34:J36)</f>
        <v>0.11522525445091675</v>
      </c>
      <c r="K37" s="56"/>
      <c r="L37" s="56"/>
      <c r="M37" s="56"/>
      <c r="N37" s="56"/>
      <c r="O37" s="62"/>
    </row>
    <row r="38" spans="1:15" x14ac:dyDescent="0.25">
      <c r="A38" s="63"/>
      <c r="B38" s="56"/>
      <c r="C38" s="56"/>
      <c r="D38" s="56"/>
      <c r="E38" s="56"/>
      <c r="F38" s="56"/>
      <c r="G38" s="56"/>
      <c r="H38" s="56"/>
      <c r="I38" s="56"/>
      <c r="J38" s="56"/>
      <c r="K38" s="56"/>
      <c r="L38" s="56"/>
      <c r="M38" s="56"/>
      <c r="N38" s="56"/>
      <c r="O38" s="62"/>
    </row>
    <row r="39" spans="1:15" x14ac:dyDescent="0.25">
      <c r="A39" s="95" t="s">
        <v>14</v>
      </c>
      <c r="B39" s="95" t="s">
        <v>179</v>
      </c>
      <c r="C39" s="95" t="s">
        <v>20</v>
      </c>
      <c r="D39" s="95" t="s">
        <v>21</v>
      </c>
      <c r="E39" s="95" t="s">
        <v>32</v>
      </c>
      <c r="F39" s="95" t="s">
        <v>17</v>
      </c>
      <c r="G39" s="95" t="s">
        <v>180</v>
      </c>
      <c r="H39" s="95" t="s">
        <v>181</v>
      </c>
      <c r="I39" s="95" t="s">
        <v>18</v>
      </c>
      <c r="J39" s="24"/>
      <c r="K39" s="56"/>
      <c r="L39" s="56"/>
      <c r="M39" s="56"/>
      <c r="N39" s="56"/>
      <c r="O39" s="62"/>
    </row>
    <row r="40" spans="1:15" x14ac:dyDescent="0.25">
      <c r="A40" s="72">
        <v>10</v>
      </c>
      <c r="B40" s="72" t="s">
        <v>182</v>
      </c>
      <c r="C40" s="72" t="s">
        <v>329</v>
      </c>
      <c r="D40" s="74">
        <v>500</v>
      </c>
      <c r="E40" s="72" t="s">
        <v>184</v>
      </c>
      <c r="F40" s="72">
        <v>6</v>
      </c>
      <c r="G40" s="72">
        <v>3000</v>
      </c>
      <c r="H40" s="72">
        <v>1</v>
      </c>
      <c r="I40" s="74">
        <f>D40*F40/G40*H40</f>
        <v>1</v>
      </c>
      <c r="J40" s="24"/>
      <c r="K40" s="56"/>
      <c r="L40" s="56"/>
      <c r="M40" s="56"/>
      <c r="N40" s="56"/>
      <c r="O40" s="62"/>
    </row>
    <row r="41" spans="1:15" x14ac:dyDescent="0.25">
      <c r="A41" s="67"/>
      <c r="B41" s="24"/>
      <c r="C41" s="24"/>
      <c r="D41" s="24"/>
      <c r="E41" s="24"/>
      <c r="F41" s="24"/>
      <c r="G41" s="24"/>
      <c r="H41" s="259" t="s">
        <v>18</v>
      </c>
      <c r="I41" s="238">
        <f>SUM(I40:I40)</f>
        <v>1</v>
      </c>
      <c r="J41" s="24"/>
      <c r="K41" s="56"/>
      <c r="L41" s="56"/>
      <c r="M41" s="56"/>
      <c r="N41" s="56"/>
      <c r="O41" s="62"/>
    </row>
    <row r="42" spans="1:15" ht="15.75" thickBot="1" x14ac:dyDescent="0.3">
      <c r="A42" s="69"/>
      <c r="B42" s="70"/>
      <c r="C42" s="70"/>
      <c r="D42" s="70"/>
      <c r="E42" s="70"/>
      <c r="F42" s="70"/>
      <c r="G42" s="70"/>
      <c r="H42" s="70"/>
      <c r="I42" s="70"/>
      <c r="J42" s="70"/>
      <c r="K42" s="70"/>
      <c r="L42" s="70"/>
      <c r="M42" s="70"/>
      <c r="N42" s="70"/>
      <c r="O42" s="71"/>
    </row>
    <row r="43" spans="1:15" x14ac:dyDescent="0.25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</sheetData>
  <hyperlinks>
    <hyperlink ref="B10" location="SU_08001" display="Rocker bushing" xr:uid="{00000000-0004-0000-6100-000000000000}"/>
    <hyperlink ref="B11" location="SU_08002" display="Sheets of metal for rocker" xr:uid="{00000000-0004-0000-6100-000001000000}"/>
    <hyperlink ref="B12" location="SU_08003" display="Rear rocker mount" xr:uid="{00000000-0004-0000-6100-000002000000}"/>
    <hyperlink ref="E2" location="SU_A0800_BOM" display="Back to BOM" xr:uid="{00000000-0004-0000-6100-000003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2" firstPageNumber="0" fitToHeight="99" orientation="landscape" r:id="rId1"/>
  <headerFooter>
    <oddFooter>Page &amp;P</oddFooter>
  </headerFooter>
  <rowBreaks count="1" manualBreakCount="1">
    <brk id="42" max="16383" man="1"/>
  </rowBreaks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200-000000000000}">
  <sheetPr>
    <tabColor rgb="FFFFFF66"/>
    <pageSetUpPr fitToPage="1"/>
  </sheetPr>
  <dimension ref="A1:O280"/>
  <sheetViews>
    <sheetView zoomScale="80" zoomScaleNormal="80" zoomScalePageLayoutView="70" workbookViewId="0">
      <selection activeCell="E2" sqref="E2"/>
    </sheetView>
  </sheetViews>
  <sheetFormatPr baseColWidth="10" defaultRowHeight="15" x14ac:dyDescent="0.25"/>
  <cols>
    <col min="2" max="2" width="30.42578125" customWidth="1"/>
    <col min="3" max="3" width="23.5703125" customWidth="1"/>
    <col min="7" max="7" width="14.5703125" customWidth="1"/>
    <col min="9" max="9" width="24.28515625" customWidth="1"/>
    <col min="10" max="10" width="13.5703125" customWidth="1"/>
  </cols>
  <sheetData>
    <row r="1" spans="1:15" x14ac:dyDescent="0.25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25">
      <c r="A2" s="785" t="s">
        <v>0</v>
      </c>
      <c r="B2" s="16" t="s">
        <v>37</v>
      </c>
      <c r="C2" s="786"/>
      <c r="D2" s="786"/>
      <c r="E2" s="786"/>
      <c r="F2" s="787" t="s">
        <v>62</v>
      </c>
      <c r="G2" s="786"/>
      <c r="H2" s="786"/>
      <c r="I2" s="786"/>
      <c r="J2" s="788" t="s">
        <v>1</v>
      </c>
      <c r="K2" s="789">
        <v>81</v>
      </c>
      <c r="L2" s="786"/>
      <c r="M2" s="785" t="s">
        <v>16</v>
      </c>
      <c r="N2" s="790">
        <f>SU_08001_m+SU_08001_p</f>
        <v>1.3710986506763019</v>
      </c>
      <c r="O2" s="264"/>
    </row>
    <row r="3" spans="1:15" x14ac:dyDescent="0.25">
      <c r="A3" s="785" t="s">
        <v>3</v>
      </c>
      <c r="B3" s="16" t="str">
        <f>'SU A0800'!B3</f>
        <v>Suspension &amp; Shocks</v>
      </c>
      <c r="C3" s="786"/>
      <c r="D3" s="785" t="s">
        <v>6</v>
      </c>
      <c r="E3" s="786"/>
      <c r="F3" s="786"/>
      <c r="G3" s="786"/>
      <c r="H3" s="786"/>
      <c r="I3" s="786"/>
      <c r="J3" s="786"/>
      <c r="K3" s="786"/>
      <c r="L3" s="786"/>
      <c r="M3" s="785" t="s">
        <v>4</v>
      </c>
      <c r="N3" s="791">
        <v>2</v>
      </c>
      <c r="O3" s="264"/>
    </row>
    <row r="4" spans="1:15" x14ac:dyDescent="0.25">
      <c r="A4" s="785" t="s">
        <v>5</v>
      </c>
      <c r="B4" s="87" t="str">
        <f>'SU A0800'!B4</f>
        <v>Rear Bell Crank</v>
      </c>
      <c r="C4" s="786"/>
      <c r="D4" s="785" t="s">
        <v>8</v>
      </c>
      <c r="E4" s="786"/>
      <c r="F4" s="786"/>
      <c r="G4" s="786"/>
      <c r="H4" s="786"/>
      <c r="I4" s="786"/>
      <c r="J4" s="785" t="s">
        <v>6</v>
      </c>
      <c r="K4" s="786"/>
      <c r="L4" s="786"/>
      <c r="M4" s="786"/>
      <c r="N4" s="786"/>
      <c r="O4" s="264"/>
    </row>
    <row r="5" spans="1:15" x14ac:dyDescent="0.25">
      <c r="A5" s="785" t="s">
        <v>15</v>
      </c>
      <c r="B5" s="736" t="s">
        <v>311</v>
      </c>
      <c r="C5" s="786"/>
      <c r="D5" s="785" t="s">
        <v>12</v>
      </c>
      <c r="E5" s="786"/>
      <c r="F5" s="786"/>
      <c r="G5" s="786"/>
      <c r="H5" s="786"/>
      <c r="I5" s="786"/>
      <c r="J5" s="785" t="s">
        <v>8</v>
      </c>
      <c r="K5" s="786"/>
      <c r="L5" s="786"/>
      <c r="M5" s="785" t="s">
        <v>9</v>
      </c>
      <c r="N5" s="790">
        <f>N2*SU_08001_q</f>
        <v>2.7421973013526038</v>
      </c>
      <c r="O5" s="264"/>
    </row>
    <row r="6" spans="1:15" x14ac:dyDescent="0.25">
      <c r="A6" s="785" t="s">
        <v>7</v>
      </c>
      <c r="B6" t="s">
        <v>373</v>
      </c>
      <c r="C6" s="786"/>
      <c r="D6" s="786"/>
      <c r="E6" s="786"/>
      <c r="F6" s="786"/>
      <c r="G6" s="786"/>
      <c r="H6" s="786"/>
      <c r="I6" s="786"/>
      <c r="J6" s="785" t="s">
        <v>12</v>
      </c>
      <c r="K6" s="786"/>
      <c r="L6" s="786"/>
      <c r="M6" s="786"/>
      <c r="N6" s="786"/>
      <c r="O6" s="264"/>
    </row>
    <row r="7" spans="1:15" x14ac:dyDescent="0.25">
      <c r="A7" s="785" t="s">
        <v>10</v>
      </c>
      <c r="B7" s="786" t="s">
        <v>11</v>
      </c>
      <c r="C7" s="786"/>
      <c r="D7" s="786"/>
      <c r="E7" s="786"/>
      <c r="F7" s="786"/>
      <c r="G7" s="786"/>
      <c r="H7" s="786"/>
      <c r="I7" s="786"/>
      <c r="J7" s="786"/>
      <c r="K7" s="786"/>
      <c r="L7" s="786"/>
      <c r="M7" s="786"/>
      <c r="N7" s="786"/>
      <c r="O7" s="264"/>
    </row>
    <row r="8" spans="1:15" x14ac:dyDescent="0.25">
      <c r="A8" s="785" t="s">
        <v>13</v>
      </c>
      <c r="B8" s="16"/>
      <c r="C8" s="786"/>
      <c r="D8" s="786"/>
      <c r="E8" s="786"/>
      <c r="F8" s="786"/>
      <c r="G8" s="786"/>
      <c r="H8" s="786"/>
      <c r="I8" s="786"/>
      <c r="J8" s="786"/>
      <c r="K8" s="786"/>
      <c r="L8" s="786"/>
      <c r="M8" s="786"/>
      <c r="N8" s="786"/>
      <c r="O8" s="264"/>
    </row>
    <row r="9" spans="1:15" x14ac:dyDescent="0.25">
      <c r="A9" s="792"/>
      <c r="B9" s="786"/>
      <c r="C9" s="786"/>
      <c r="D9" s="786"/>
      <c r="E9" s="786"/>
      <c r="F9" s="786"/>
      <c r="G9" s="786"/>
      <c r="H9" s="786"/>
      <c r="I9" s="786"/>
      <c r="J9" s="786"/>
      <c r="K9" s="786"/>
      <c r="L9" s="786"/>
      <c r="M9" s="786"/>
      <c r="N9" s="786"/>
      <c r="O9" s="264"/>
    </row>
    <row r="10" spans="1:15" x14ac:dyDescent="0.25">
      <c r="A10" s="793" t="s">
        <v>14</v>
      </c>
      <c r="B10" s="794" t="s">
        <v>19</v>
      </c>
      <c r="C10" s="794" t="s">
        <v>20</v>
      </c>
      <c r="D10" s="794" t="s">
        <v>21</v>
      </c>
      <c r="E10" s="794" t="s">
        <v>22</v>
      </c>
      <c r="F10" s="794" t="s">
        <v>23</v>
      </c>
      <c r="G10" s="794" t="s">
        <v>24</v>
      </c>
      <c r="H10" s="794" t="s">
        <v>25</v>
      </c>
      <c r="I10" s="794" t="s">
        <v>26</v>
      </c>
      <c r="J10" s="794" t="s">
        <v>27</v>
      </c>
      <c r="K10" s="794" t="s">
        <v>28</v>
      </c>
      <c r="L10" s="794" t="s">
        <v>29</v>
      </c>
      <c r="M10" s="794" t="s">
        <v>17</v>
      </c>
      <c r="N10" s="794" t="s">
        <v>18</v>
      </c>
      <c r="O10" s="264"/>
    </row>
    <row r="11" spans="1:15" x14ac:dyDescent="0.25">
      <c r="A11" s="795">
        <v>10</v>
      </c>
      <c r="B11" s="796" t="s">
        <v>331</v>
      </c>
      <c r="C11" s="797" t="s">
        <v>332</v>
      </c>
      <c r="D11" s="798">
        <v>3.3</v>
      </c>
      <c r="E11" s="799">
        <f>J11*K11*L11</f>
        <v>1.3969288083727863E-2</v>
      </c>
      <c r="F11" s="800" t="s">
        <v>141</v>
      </c>
      <c r="G11" s="800"/>
      <c r="H11" s="801"/>
      <c r="I11" s="802" t="s">
        <v>333</v>
      </c>
      <c r="J11" s="802">
        <f>PI()*(7.5*10^-3)^2</f>
        <v>1.7671458676442585E-4</v>
      </c>
      <c r="K11" s="803">
        <v>9.2999999999999992E-3</v>
      </c>
      <c r="L11" s="804">
        <v>8500</v>
      </c>
      <c r="M11" s="804">
        <v>1</v>
      </c>
      <c r="N11" s="798">
        <f>D11*E11</f>
        <v>4.6098650676301943E-2</v>
      </c>
      <c r="O11" s="264"/>
    </row>
    <row r="12" spans="1:15" x14ac:dyDescent="0.25">
      <c r="A12" s="805"/>
      <c r="B12" s="806"/>
      <c r="C12" s="806"/>
      <c r="D12" s="806"/>
      <c r="E12" s="806"/>
      <c r="F12" s="806"/>
      <c r="G12" s="806"/>
      <c r="H12" s="806"/>
      <c r="I12" s="806"/>
      <c r="J12" s="806"/>
      <c r="K12" s="806"/>
      <c r="L12" s="806"/>
      <c r="M12" s="807" t="s">
        <v>18</v>
      </c>
      <c r="N12" s="808">
        <f>N11</f>
        <v>4.6098650676301943E-2</v>
      </c>
      <c r="O12" s="264"/>
    </row>
    <row r="13" spans="1:15" x14ac:dyDescent="0.25">
      <c r="A13" s="792"/>
      <c r="B13" s="786"/>
      <c r="C13" s="786"/>
      <c r="D13" s="786"/>
      <c r="E13" s="786"/>
      <c r="F13" s="786"/>
      <c r="G13" s="786"/>
      <c r="H13" s="786"/>
      <c r="I13" s="786"/>
      <c r="J13" s="786"/>
      <c r="K13" s="786"/>
      <c r="L13" s="786"/>
      <c r="M13" s="786"/>
      <c r="N13" s="786"/>
      <c r="O13" s="264"/>
    </row>
    <row r="14" spans="1:15" x14ac:dyDescent="0.25">
      <c r="A14" s="793" t="s">
        <v>14</v>
      </c>
      <c r="B14" s="794" t="s">
        <v>31</v>
      </c>
      <c r="C14" s="794" t="s">
        <v>20</v>
      </c>
      <c r="D14" s="794" t="s">
        <v>21</v>
      </c>
      <c r="E14" s="794" t="s">
        <v>32</v>
      </c>
      <c r="F14" s="794" t="s">
        <v>17</v>
      </c>
      <c r="G14" s="794" t="s">
        <v>33</v>
      </c>
      <c r="H14" s="794" t="s">
        <v>34</v>
      </c>
      <c r="I14" s="794" t="s">
        <v>18</v>
      </c>
      <c r="J14" s="806"/>
      <c r="K14" s="806"/>
      <c r="L14" s="806"/>
      <c r="M14" s="806"/>
      <c r="N14" s="806"/>
      <c r="O14" s="264"/>
    </row>
    <row r="15" spans="1:15" x14ac:dyDescent="0.25">
      <c r="A15" s="809">
        <v>10</v>
      </c>
      <c r="B15" s="800" t="s">
        <v>39</v>
      </c>
      <c r="C15" s="800"/>
      <c r="D15" s="798">
        <v>1.3</v>
      </c>
      <c r="E15" s="800" t="s">
        <v>35</v>
      </c>
      <c r="F15" s="800">
        <v>1</v>
      </c>
      <c r="G15" s="800"/>
      <c r="H15" s="800"/>
      <c r="I15" s="798">
        <v>1.3</v>
      </c>
      <c r="J15" s="786"/>
      <c r="K15" s="786"/>
      <c r="L15" s="786"/>
      <c r="M15" s="786"/>
      <c r="N15" s="786"/>
      <c r="O15" s="264"/>
    </row>
    <row r="16" spans="1:15" x14ac:dyDescent="0.25">
      <c r="A16" s="809">
        <v>20</v>
      </c>
      <c r="B16" s="800" t="s">
        <v>334</v>
      </c>
      <c r="C16" s="800" t="s">
        <v>335</v>
      </c>
      <c r="D16" s="798">
        <v>0.04</v>
      </c>
      <c r="E16" s="800" t="s">
        <v>93</v>
      </c>
      <c r="F16" s="800">
        <v>1.25</v>
      </c>
      <c r="G16" s="800" t="s">
        <v>336</v>
      </c>
      <c r="H16" s="800">
        <v>0.5</v>
      </c>
      <c r="I16" s="798">
        <f>D16*F16*H16</f>
        <v>2.5000000000000001E-2</v>
      </c>
      <c r="J16" s="786"/>
      <c r="K16" s="786"/>
      <c r="L16" s="786"/>
      <c r="M16" s="786"/>
      <c r="N16" s="786"/>
      <c r="O16" s="264"/>
    </row>
    <row r="17" spans="1:15" x14ac:dyDescent="0.25">
      <c r="A17" s="805"/>
      <c r="B17" s="806"/>
      <c r="C17" s="806"/>
      <c r="D17" s="806"/>
      <c r="E17" s="806"/>
      <c r="F17" s="806"/>
      <c r="G17" s="806"/>
      <c r="H17" s="807" t="s">
        <v>18</v>
      </c>
      <c r="I17" s="810">
        <f>I15+I16</f>
        <v>1.325</v>
      </c>
      <c r="J17" s="806"/>
      <c r="K17" s="806"/>
      <c r="L17" s="806"/>
      <c r="M17" s="806"/>
      <c r="N17" s="806"/>
      <c r="O17" s="264"/>
    </row>
    <row r="18" spans="1:15" x14ac:dyDescent="0.25">
      <c r="A18" s="792"/>
      <c r="B18" s="786"/>
      <c r="C18" s="786"/>
      <c r="D18" s="786"/>
      <c r="E18" s="786"/>
      <c r="F18" s="786"/>
      <c r="G18" s="786"/>
      <c r="H18" s="789"/>
      <c r="I18" s="790"/>
      <c r="J18" s="786"/>
      <c r="K18" s="786"/>
      <c r="L18" s="786"/>
      <c r="M18" s="786"/>
      <c r="N18" s="786"/>
      <c r="O18" s="264"/>
    </row>
    <row r="19" spans="1:15" x14ac:dyDescent="0.25">
      <c r="A19" s="792"/>
      <c r="B19" s="786"/>
      <c r="C19" s="786"/>
      <c r="D19" s="786"/>
      <c r="E19" s="786"/>
      <c r="F19" s="786"/>
      <c r="G19" s="786"/>
      <c r="H19" s="786"/>
      <c r="I19" s="786"/>
      <c r="J19" s="786"/>
      <c r="K19" s="786"/>
      <c r="L19" s="786"/>
      <c r="M19" s="786"/>
      <c r="N19" s="786"/>
      <c r="O19" s="264"/>
    </row>
    <row r="20" spans="1:15" x14ac:dyDescent="0.25">
      <c r="A20" s="792"/>
      <c r="B20" s="786"/>
      <c r="C20" s="786"/>
      <c r="D20" s="786"/>
      <c r="E20" s="786"/>
      <c r="F20" s="786"/>
      <c r="G20" s="786"/>
      <c r="H20" s="786"/>
      <c r="I20" s="786"/>
      <c r="J20" s="786"/>
      <c r="K20" s="786"/>
      <c r="L20" s="786"/>
      <c r="M20" s="786"/>
      <c r="N20" s="786"/>
      <c r="O20" s="264"/>
    </row>
    <row r="21" spans="1:15" x14ac:dyDescent="0.25">
      <c r="A21" s="792"/>
      <c r="B21" s="786"/>
      <c r="C21" s="786"/>
      <c r="D21" s="786"/>
      <c r="E21" s="786"/>
      <c r="F21" s="786"/>
      <c r="G21" s="786"/>
      <c r="H21" s="786"/>
      <c r="I21" s="786"/>
      <c r="J21" s="786"/>
      <c r="K21" s="786"/>
      <c r="L21" s="786"/>
      <c r="M21" s="786"/>
      <c r="N21" s="786"/>
      <c r="O21" s="264"/>
    </row>
    <row r="22" spans="1:15" ht="15.75" thickBot="1" x14ac:dyDescent="0.3">
      <c r="A22" s="811"/>
      <c r="B22" s="812"/>
      <c r="C22" s="812"/>
      <c r="D22" s="812"/>
      <c r="E22" s="812"/>
      <c r="F22" s="812"/>
      <c r="G22" s="812"/>
      <c r="H22" s="812"/>
      <c r="I22" s="812"/>
      <c r="J22" s="812"/>
      <c r="K22" s="812"/>
      <c r="L22" s="812"/>
      <c r="M22" s="812"/>
      <c r="N22" s="812"/>
      <c r="O22" s="286"/>
    </row>
    <row r="23" spans="1:15" x14ac:dyDescent="0.25">
      <c r="A23" s="16"/>
      <c r="B23" s="813"/>
      <c r="C23" s="813"/>
      <c r="D23" s="813"/>
      <c r="E23" s="813"/>
      <c r="F23" s="813"/>
      <c r="G23" s="813"/>
      <c r="H23" s="813"/>
      <c r="I23" s="813"/>
      <c r="J23" s="813"/>
      <c r="K23" s="813"/>
      <c r="L23" s="813"/>
      <c r="M23" s="813"/>
      <c r="N23" s="813"/>
    </row>
    <row r="24" spans="1:15" x14ac:dyDescent="0.25">
      <c r="A24" s="16"/>
      <c r="B24" s="813"/>
      <c r="C24" s="813"/>
      <c r="D24" s="813"/>
      <c r="E24" s="813"/>
      <c r="F24" s="813"/>
      <c r="G24" s="813"/>
      <c r="H24" s="813"/>
      <c r="I24" s="813"/>
      <c r="J24" s="813"/>
      <c r="K24" s="813"/>
      <c r="L24" s="813"/>
      <c r="M24" s="813"/>
      <c r="N24" s="813"/>
    </row>
    <row r="25" spans="1:15" x14ac:dyDescent="0.25">
      <c r="A25" s="87"/>
      <c r="B25" s="813"/>
      <c r="C25" s="813"/>
      <c r="D25" s="813"/>
      <c r="E25" s="813"/>
      <c r="F25" s="813"/>
      <c r="G25" s="813"/>
      <c r="H25" s="813"/>
      <c r="I25" s="813"/>
      <c r="J25" s="813"/>
      <c r="K25" s="813"/>
      <c r="L25" s="813"/>
      <c r="M25" s="813"/>
      <c r="N25" s="813"/>
    </row>
    <row r="26" spans="1:15" x14ac:dyDescent="0.25">
      <c r="A26" s="18"/>
      <c r="B26" s="813"/>
      <c r="C26" s="813"/>
      <c r="D26" s="813"/>
      <c r="E26" s="813"/>
      <c r="F26" s="813"/>
      <c r="G26" s="813"/>
      <c r="H26" s="813"/>
      <c r="I26" s="813"/>
      <c r="J26" s="813"/>
      <c r="K26" s="813"/>
      <c r="L26" s="813"/>
      <c r="M26" s="813"/>
      <c r="N26" s="813"/>
    </row>
    <row r="27" spans="1:15" x14ac:dyDescent="0.25">
      <c r="A27" s="28"/>
      <c r="B27" s="813"/>
      <c r="C27" s="813"/>
      <c r="D27" s="813"/>
      <c r="E27" s="813"/>
      <c r="F27" s="813"/>
      <c r="G27" s="813"/>
      <c r="H27" s="813"/>
      <c r="I27" s="813"/>
      <c r="J27" s="813"/>
      <c r="K27" s="813"/>
      <c r="L27" s="813"/>
      <c r="M27" s="813"/>
      <c r="N27" s="813"/>
    </row>
    <row r="28" spans="1:15" x14ac:dyDescent="0.25">
      <c r="A28" s="16"/>
      <c r="B28" s="813"/>
      <c r="C28" s="813"/>
      <c r="D28" s="813"/>
      <c r="E28" s="813"/>
      <c r="F28" s="813"/>
      <c r="G28" s="813"/>
      <c r="H28" s="813"/>
      <c r="I28" s="813"/>
      <c r="J28" s="813"/>
      <c r="K28" s="813"/>
      <c r="L28" s="813"/>
      <c r="M28" s="813"/>
      <c r="N28" s="813"/>
    </row>
    <row r="29" spans="1:15" x14ac:dyDescent="0.25">
      <c r="A29" s="16"/>
      <c r="B29" s="813"/>
      <c r="C29" s="813"/>
      <c r="D29" s="813"/>
      <c r="E29" s="813"/>
      <c r="F29" s="813"/>
      <c r="G29" s="813"/>
      <c r="H29" s="813"/>
      <c r="I29" s="813"/>
      <c r="J29" s="813"/>
      <c r="K29" s="813"/>
      <c r="L29" s="813"/>
      <c r="M29" s="813"/>
      <c r="N29" s="813"/>
    </row>
    <row r="30" spans="1:15" x14ac:dyDescent="0.25">
      <c r="A30" s="813"/>
      <c r="B30" s="813"/>
      <c r="C30" s="813"/>
      <c r="D30" s="813"/>
      <c r="E30" s="813"/>
      <c r="F30" s="813"/>
      <c r="G30" s="813"/>
      <c r="H30" s="813"/>
      <c r="I30" s="813"/>
      <c r="J30" s="813"/>
      <c r="K30" s="813"/>
      <c r="L30" s="813"/>
      <c r="M30" s="813"/>
      <c r="N30" s="813"/>
    </row>
    <row r="31" spans="1:15" x14ac:dyDescent="0.25">
      <c r="A31" s="813"/>
      <c r="B31" s="813"/>
      <c r="C31" s="813"/>
      <c r="D31" s="813"/>
      <c r="E31" s="813"/>
      <c r="F31" s="813"/>
      <c r="G31" s="813"/>
      <c r="H31" s="813"/>
      <c r="I31" s="813"/>
      <c r="J31" s="813"/>
      <c r="K31" s="813"/>
      <c r="L31" s="813"/>
      <c r="M31" s="813"/>
      <c r="N31" s="813"/>
    </row>
    <row r="32" spans="1:15" x14ac:dyDescent="0.25">
      <c r="A32" s="813"/>
      <c r="B32" s="813"/>
      <c r="C32" s="813"/>
      <c r="D32" s="813"/>
      <c r="E32" s="813"/>
      <c r="F32" s="813"/>
      <c r="G32" s="813"/>
      <c r="H32" s="813"/>
      <c r="I32" s="813"/>
      <c r="J32" s="813"/>
      <c r="K32" s="813"/>
      <c r="L32" s="813"/>
      <c r="M32" s="813"/>
      <c r="N32" s="813"/>
    </row>
    <row r="33" spans="1:14" x14ac:dyDescent="0.25">
      <c r="A33" s="813"/>
      <c r="B33" s="813"/>
      <c r="C33" s="813"/>
      <c r="D33" s="813"/>
      <c r="E33" s="813"/>
      <c r="F33" s="813"/>
      <c r="G33" s="813"/>
      <c r="H33" s="813"/>
      <c r="I33" s="813"/>
      <c r="J33" s="813"/>
      <c r="K33" s="813"/>
      <c r="L33" s="813"/>
      <c r="M33" s="813"/>
      <c r="N33" s="813"/>
    </row>
    <row r="34" spans="1:14" x14ac:dyDescent="0.25">
      <c r="A34" s="813"/>
      <c r="B34" s="813"/>
      <c r="C34" s="813"/>
      <c r="D34" s="813"/>
      <c r="E34" s="813"/>
      <c r="F34" s="813"/>
      <c r="G34" s="813"/>
      <c r="H34" s="813"/>
      <c r="I34" s="813"/>
      <c r="J34" s="813"/>
      <c r="K34" s="813"/>
      <c r="L34" s="813"/>
      <c r="M34" s="813"/>
      <c r="N34" s="813"/>
    </row>
    <row r="35" spans="1:14" x14ac:dyDescent="0.25">
      <c r="A35" s="813"/>
      <c r="B35" s="813"/>
      <c r="C35" s="813"/>
      <c r="D35" s="813"/>
      <c r="E35" s="813"/>
      <c r="F35" s="813"/>
      <c r="G35" s="813"/>
      <c r="H35" s="813"/>
      <c r="I35" s="813"/>
      <c r="J35" s="813"/>
      <c r="K35" s="813"/>
      <c r="L35" s="813"/>
      <c r="M35" s="813"/>
      <c r="N35" s="813"/>
    </row>
    <row r="36" spans="1:14" x14ac:dyDescent="0.25">
      <c r="A36" s="813"/>
      <c r="B36" s="813"/>
      <c r="C36" s="813"/>
      <c r="D36" s="813"/>
      <c r="E36" s="813"/>
      <c r="F36" s="813"/>
      <c r="G36" s="813"/>
      <c r="H36" s="813"/>
      <c r="I36" s="813"/>
      <c r="J36" s="813"/>
      <c r="K36" s="813"/>
      <c r="L36" s="813"/>
      <c r="M36" s="813"/>
      <c r="N36" s="813"/>
    </row>
    <row r="37" spans="1:14" x14ac:dyDescent="0.25">
      <c r="A37" s="813"/>
      <c r="B37" s="813"/>
      <c r="C37" s="813"/>
      <c r="D37" s="813"/>
      <c r="E37" s="813"/>
      <c r="F37" s="813"/>
      <c r="G37" s="813"/>
      <c r="H37" s="813"/>
      <c r="I37" s="813"/>
      <c r="J37" s="813"/>
      <c r="K37" s="813"/>
      <c r="L37" s="813"/>
      <c r="M37" s="813"/>
      <c r="N37" s="813"/>
    </row>
    <row r="38" spans="1:14" x14ac:dyDescent="0.25">
      <c r="A38" s="813"/>
      <c r="B38" s="813"/>
      <c r="C38" s="813"/>
      <c r="D38" s="813"/>
      <c r="E38" s="813"/>
      <c r="F38" s="813"/>
      <c r="G38" s="813"/>
      <c r="H38" s="813"/>
      <c r="I38" s="813"/>
      <c r="J38" s="813"/>
      <c r="K38" s="813"/>
      <c r="L38" s="813"/>
      <c r="M38" s="813"/>
      <c r="N38" s="813"/>
    </row>
    <row r="39" spans="1:14" x14ac:dyDescent="0.25">
      <c r="A39" s="813"/>
      <c r="B39" s="813"/>
      <c r="C39" s="813"/>
      <c r="D39" s="813"/>
      <c r="E39" s="813"/>
      <c r="F39" s="813"/>
      <c r="G39" s="813"/>
      <c r="H39" s="813"/>
      <c r="I39" s="813"/>
      <c r="J39" s="813"/>
      <c r="K39" s="813"/>
      <c r="L39" s="813"/>
      <c r="M39" s="813"/>
      <c r="N39" s="813"/>
    </row>
    <row r="40" spans="1:14" x14ac:dyDescent="0.25">
      <c r="A40" s="813"/>
      <c r="B40" s="813"/>
      <c r="C40" s="813"/>
      <c r="D40" s="813"/>
      <c r="E40" s="813"/>
      <c r="F40" s="813"/>
      <c r="G40" s="813"/>
      <c r="H40" s="813"/>
      <c r="I40" s="813"/>
      <c r="J40" s="813"/>
      <c r="K40" s="813"/>
      <c r="L40" s="813"/>
      <c r="M40" s="813"/>
      <c r="N40" s="813"/>
    </row>
    <row r="41" spans="1:14" x14ac:dyDescent="0.25">
      <c r="A41" s="813"/>
      <c r="B41" s="813"/>
      <c r="C41" s="813"/>
      <c r="D41" s="813"/>
      <c r="E41" s="813"/>
      <c r="F41" s="813"/>
      <c r="G41" s="813"/>
      <c r="H41" s="813"/>
      <c r="I41" s="813"/>
      <c r="J41" s="813"/>
      <c r="K41" s="813"/>
      <c r="L41" s="813"/>
      <c r="M41" s="813"/>
      <c r="N41" s="813"/>
    </row>
    <row r="42" spans="1:14" x14ac:dyDescent="0.25">
      <c r="A42" s="813"/>
      <c r="B42" s="813"/>
      <c r="C42" s="813"/>
      <c r="D42" s="813"/>
      <c r="E42" s="813"/>
      <c r="F42" s="813"/>
      <c r="G42" s="813"/>
      <c r="H42" s="813"/>
      <c r="I42" s="813"/>
      <c r="J42" s="813"/>
      <c r="K42" s="813"/>
      <c r="L42" s="813"/>
      <c r="M42" s="813"/>
      <c r="N42" s="813"/>
    </row>
    <row r="43" spans="1:14" x14ac:dyDescent="0.25">
      <c r="A43" s="813"/>
      <c r="B43" s="813"/>
      <c r="C43" s="813"/>
      <c r="D43" s="813"/>
      <c r="E43" s="813"/>
      <c r="F43" s="813"/>
      <c r="G43" s="813"/>
      <c r="H43" s="813"/>
      <c r="I43" s="813"/>
      <c r="J43" s="813"/>
      <c r="K43" s="813"/>
      <c r="L43" s="813"/>
      <c r="M43" s="813"/>
      <c r="N43" s="813"/>
    </row>
    <row r="44" spans="1:14" x14ac:dyDescent="0.25">
      <c r="A44" s="813"/>
      <c r="B44" s="813"/>
      <c r="C44" s="813"/>
      <c r="D44" s="813"/>
      <c r="E44" s="813"/>
      <c r="F44" s="813"/>
      <c r="G44" s="813"/>
      <c r="H44" s="813"/>
      <c r="I44" s="813"/>
      <c r="J44" s="813"/>
      <c r="K44" s="813"/>
      <c r="L44" s="813"/>
      <c r="M44" s="813"/>
      <c r="N44" s="813"/>
    </row>
    <row r="45" spans="1:14" x14ac:dyDescent="0.25">
      <c r="A45" s="813"/>
      <c r="B45" s="813"/>
      <c r="C45" s="813"/>
      <c r="D45" s="813"/>
      <c r="E45" s="813"/>
      <c r="F45" s="813"/>
      <c r="G45" s="813"/>
      <c r="H45" s="813"/>
      <c r="I45" s="813"/>
      <c r="J45" s="813"/>
      <c r="K45" s="813"/>
      <c r="L45" s="813"/>
      <c r="M45" s="813"/>
      <c r="N45" s="813"/>
    </row>
    <row r="46" spans="1:14" x14ac:dyDescent="0.25">
      <c r="A46" s="813"/>
      <c r="B46" s="813"/>
      <c r="C46" s="813"/>
      <c r="D46" s="813"/>
      <c r="E46" s="813"/>
      <c r="F46" s="813"/>
      <c r="G46" s="813"/>
      <c r="H46" s="813"/>
      <c r="I46" s="813"/>
      <c r="J46" s="813"/>
      <c r="K46" s="813"/>
      <c r="L46" s="813"/>
      <c r="M46" s="813"/>
      <c r="N46" s="813"/>
    </row>
    <row r="47" spans="1:14" x14ac:dyDescent="0.25">
      <c r="A47" s="813"/>
      <c r="B47" s="813"/>
      <c r="C47" s="813"/>
      <c r="D47" s="813"/>
      <c r="E47" s="813"/>
      <c r="F47" s="813"/>
      <c r="G47" s="813"/>
      <c r="H47" s="813"/>
      <c r="I47" s="813"/>
      <c r="J47" s="813"/>
      <c r="K47" s="813"/>
      <c r="L47" s="813"/>
      <c r="M47" s="813"/>
      <c r="N47" s="813"/>
    </row>
    <row r="48" spans="1:14" x14ac:dyDescent="0.25">
      <c r="A48" s="813"/>
      <c r="B48" s="813"/>
      <c r="C48" s="813"/>
      <c r="D48" s="813"/>
      <c r="E48" s="813"/>
      <c r="F48" s="813"/>
      <c r="G48" s="813"/>
      <c r="H48" s="813"/>
      <c r="I48" s="813"/>
      <c r="J48" s="813"/>
      <c r="K48" s="813"/>
      <c r="L48" s="813"/>
      <c r="M48" s="813"/>
      <c r="N48" s="813"/>
    </row>
    <row r="49" spans="1:14" x14ac:dyDescent="0.25">
      <c r="A49" s="813"/>
      <c r="B49" s="813"/>
      <c r="C49" s="813"/>
      <c r="D49" s="813"/>
      <c r="E49" s="813"/>
      <c r="F49" s="813"/>
      <c r="G49" s="813"/>
      <c r="H49" s="813"/>
      <c r="I49" s="813"/>
      <c r="J49" s="813"/>
      <c r="K49" s="813"/>
      <c r="L49" s="813"/>
      <c r="M49" s="813"/>
      <c r="N49" s="813"/>
    </row>
    <row r="50" spans="1:14" x14ac:dyDescent="0.25">
      <c r="A50" s="813"/>
      <c r="B50" s="813"/>
      <c r="C50" s="813"/>
      <c r="D50" s="813"/>
      <c r="E50" s="813"/>
      <c r="F50" s="813"/>
      <c r="G50" s="813"/>
      <c r="H50" s="813"/>
      <c r="I50" s="813"/>
      <c r="J50" s="813"/>
      <c r="K50" s="813"/>
      <c r="L50" s="813"/>
      <c r="M50" s="813"/>
      <c r="N50" s="813"/>
    </row>
    <row r="51" spans="1:14" x14ac:dyDescent="0.25">
      <c r="A51" s="813"/>
      <c r="B51" s="813"/>
      <c r="C51" s="813"/>
      <c r="D51" s="813"/>
      <c r="E51" s="813"/>
      <c r="F51" s="813"/>
      <c r="G51" s="813"/>
      <c r="H51" s="813"/>
      <c r="I51" s="813"/>
      <c r="J51" s="813"/>
      <c r="K51" s="813"/>
      <c r="L51" s="813"/>
      <c r="M51" s="813"/>
      <c r="N51" s="813"/>
    </row>
    <row r="52" spans="1:14" x14ac:dyDescent="0.25">
      <c r="A52" s="813"/>
      <c r="B52" s="813"/>
      <c r="C52" s="813"/>
      <c r="D52" s="813"/>
      <c r="E52" s="813"/>
      <c r="F52" s="813"/>
      <c r="G52" s="813"/>
      <c r="H52" s="813"/>
      <c r="I52" s="813"/>
      <c r="J52" s="813"/>
      <c r="K52" s="813"/>
      <c r="L52" s="813"/>
      <c r="M52" s="813"/>
      <c r="N52" s="813"/>
    </row>
    <row r="53" spans="1:14" x14ac:dyDescent="0.25">
      <c r="A53" s="813"/>
      <c r="B53" s="813"/>
      <c r="C53" s="813"/>
      <c r="D53" s="813"/>
      <c r="E53" s="813"/>
      <c r="F53" s="813"/>
      <c r="G53" s="813"/>
      <c r="H53" s="813"/>
      <c r="I53" s="813"/>
      <c r="J53" s="813"/>
      <c r="K53" s="813"/>
      <c r="L53" s="813"/>
      <c r="M53" s="813"/>
      <c r="N53" s="813"/>
    </row>
    <row r="54" spans="1:14" x14ac:dyDescent="0.25">
      <c r="A54" s="813"/>
      <c r="B54" s="813"/>
      <c r="C54" s="813"/>
      <c r="D54" s="813"/>
      <c r="E54" s="813"/>
      <c r="F54" s="813"/>
      <c r="G54" s="813"/>
      <c r="H54" s="813"/>
      <c r="I54" s="813"/>
      <c r="J54" s="813"/>
      <c r="K54" s="813"/>
      <c r="L54" s="813"/>
      <c r="M54" s="813"/>
      <c r="N54" s="813"/>
    </row>
    <row r="55" spans="1:14" x14ac:dyDescent="0.25">
      <c r="A55" s="813"/>
      <c r="B55" s="813"/>
      <c r="C55" s="813"/>
      <c r="D55" s="813"/>
      <c r="E55" s="813"/>
      <c r="F55" s="813"/>
      <c r="G55" s="813"/>
      <c r="H55" s="813"/>
      <c r="I55" s="813"/>
      <c r="J55" s="813"/>
      <c r="K55" s="813"/>
      <c r="L55" s="813"/>
      <c r="M55" s="813"/>
      <c r="N55" s="813"/>
    </row>
    <row r="56" spans="1:14" x14ac:dyDescent="0.25">
      <c r="A56" s="813"/>
      <c r="B56" s="813"/>
      <c r="C56" s="813"/>
      <c r="D56" s="813"/>
      <c r="E56" s="813"/>
      <c r="F56" s="813"/>
      <c r="G56" s="813"/>
      <c r="H56" s="813"/>
      <c r="I56" s="813"/>
      <c r="J56" s="813"/>
      <c r="K56" s="813"/>
      <c r="L56" s="813"/>
      <c r="M56" s="813"/>
      <c r="N56" s="813"/>
    </row>
    <row r="57" spans="1:14" x14ac:dyDescent="0.25">
      <c r="A57" s="813"/>
      <c r="B57" s="813"/>
      <c r="C57" s="813"/>
      <c r="D57" s="813"/>
      <c r="E57" s="813"/>
      <c r="F57" s="813"/>
      <c r="G57" s="813"/>
      <c r="H57" s="813"/>
      <c r="I57" s="813"/>
      <c r="J57" s="813"/>
      <c r="K57" s="813"/>
      <c r="L57" s="813"/>
      <c r="M57" s="813"/>
      <c r="N57" s="813"/>
    </row>
    <row r="58" spans="1:14" x14ac:dyDescent="0.25">
      <c r="A58" s="813"/>
      <c r="B58" s="813"/>
      <c r="C58" s="813"/>
      <c r="D58" s="813"/>
      <c r="E58" s="813"/>
      <c r="F58" s="813"/>
      <c r="G58" s="813"/>
      <c r="H58" s="813"/>
      <c r="I58" s="813"/>
      <c r="J58" s="813"/>
      <c r="K58" s="813"/>
      <c r="L58" s="813"/>
      <c r="M58" s="813"/>
      <c r="N58" s="813"/>
    </row>
    <row r="59" spans="1:14" x14ac:dyDescent="0.25">
      <c r="A59" s="813"/>
      <c r="B59" s="813"/>
      <c r="C59" s="813"/>
      <c r="D59" s="813"/>
      <c r="E59" s="813"/>
      <c r="F59" s="813"/>
      <c r="G59" s="813"/>
      <c r="H59" s="813"/>
      <c r="I59" s="813"/>
      <c r="J59" s="813"/>
      <c r="K59" s="813"/>
      <c r="L59" s="813"/>
      <c r="M59" s="813"/>
      <c r="N59" s="813"/>
    </row>
    <row r="60" spans="1:14" x14ac:dyDescent="0.25">
      <c r="A60" s="813"/>
      <c r="B60" s="813"/>
      <c r="C60" s="813"/>
      <c r="D60" s="813"/>
      <c r="E60" s="813"/>
      <c r="F60" s="813"/>
      <c r="G60" s="813"/>
      <c r="H60" s="813"/>
      <c r="I60" s="813"/>
      <c r="J60" s="813"/>
      <c r="K60" s="813"/>
      <c r="L60" s="813"/>
      <c r="M60" s="813"/>
      <c r="N60" s="813"/>
    </row>
    <row r="61" spans="1:14" x14ac:dyDescent="0.25">
      <c r="A61" s="813"/>
      <c r="B61" s="813"/>
      <c r="C61" s="813"/>
      <c r="D61" s="813"/>
      <c r="E61" s="813"/>
      <c r="F61" s="813"/>
      <c r="G61" s="813"/>
      <c r="H61" s="813"/>
      <c r="I61" s="813"/>
      <c r="J61" s="813"/>
      <c r="K61" s="813"/>
      <c r="L61" s="813"/>
      <c r="M61" s="813"/>
      <c r="N61" s="813"/>
    </row>
    <row r="62" spans="1:14" x14ac:dyDescent="0.25">
      <c r="A62" s="813"/>
      <c r="B62" s="813"/>
      <c r="C62" s="813"/>
      <c r="D62" s="813"/>
      <c r="E62" s="813"/>
      <c r="F62" s="813"/>
      <c r="G62" s="813"/>
      <c r="H62" s="813"/>
      <c r="I62" s="813"/>
      <c r="J62" s="813"/>
      <c r="K62" s="813"/>
      <c r="L62" s="813"/>
      <c r="M62" s="813"/>
      <c r="N62" s="813"/>
    </row>
    <row r="63" spans="1:14" x14ac:dyDescent="0.25">
      <c r="A63" s="813"/>
      <c r="B63" s="813"/>
      <c r="C63" s="813"/>
      <c r="D63" s="813"/>
      <c r="E63" s="813"/>
      <c r="F63" s="813"/>
      <c r="G63" s="813"/>
      <c r="H63" s="813"/>
      <c r="I63" s="813"/>
      <c r="J63" s="813"/>
      <c r="K63" s="813"/>
      <c r="L63" s="813"/>
      <c r="M63" s="813"/>
      <c r="N63" s="813"/>
    </row>
    <row r="64" spans="1:14" x14ac:dyDescent="0.25">
      <c r="A64" s="813"/>
      <c r="B64" s="813"/>
      <c r="C64" s="813"/>
      <c r="D64" s="813"/>
      <c r="E64" s="813"/>
      <c r="F64" s="813"/>
      <c r="G64" s="813"/>
      <c r="H64" s="813"/>
      <c r="I64" s="813"/>
      <c r="J64" s="813"/>
      <c r="K64" s="813"/>
      <c r="L64" s="813"/>
      <c r="M64" s="813"/>
      <c r="N64" s="813"/>
    </row>
    <row r="65" spans="1:14" x14ac:dyDescent="0.25">
      <c r="A65" s="813"/>
      <c r="B65" s="813"/>
      <c r="C65" s="813"/>
      <c r="D65" s="813"/>
      <c r="E65" s="813"/>
      <c r="F65" s="813"/>
      <c r="G65" s="813"/>
      <c r="H65" s="813"/>
      <c r="I65" s="813"/>
      <c r="J65" s="813"/>
      <c r="K65" s="813"/>
      <c r="L65" s="813"/>
      <c r="M65" s="813"/>
      <c r="N65" s="813"/>
    </row>
    <row r="66" spans="1:14" x14ac:dyDescent="0.25">
      <c r="A66" s="813"/>
      <c r="B66" s="813"/>
      <c r="C66" s="813"/>
      <c r="D66" s="813"/>
      <c r="E66" s="813"/>
      <c r="F66" s="813"/>
      <c r="G66" s="813"/>
      <c r="H66" s="813"/>
      <c r="I66" s="813"/>
      <c r="J66" s="813"/>
      <c r="K66" s="813"/>
      <c r="L66" s="813"/>
      <c r="M66" s="813"/>
      <c r="N66" s="813"/>
    </row>
    <row r="67" spans="1:14" x14ac:dyDescent="0.25">
      <c r="A67" s="813"/>
      <c r="B67" s="813"/>
      <c r="C67" s="813"/>
      <c r="D67" s="813"/>
      <c r="E67" s="813"/>
      <c r="F67" s="813"/>
      <c r="G67" s="813"/>
      <c r="H67" s="813"/>
      <c r="I67" s="813"/>
      <c r="J67" s="813"/>
      <c r="K67" s="813"/>
      <c r="L67" s="813"/>
      <c r="M67" s="813"/>
      <c r="N67" s="813"/>
    </row>
    <row r="68" spans="1:14" x14ac:dyDescent="0.25">
      <c r="A68" s="813"/>
      <c r="B68" s="813"/>
      <c r="C68" s="813"/>
      <c r="D68" s="813"/>
      <c r="E68" s="813"/>
      <c r="F68" s="813"/>
      <c r="G68" s="813"/>
      <c r="H68" s="813"/>
      <c r="I68" s="813"/>
      <c r="J68" s="813"/>
      <c r="K68" s="813"/>
      <c r="L68" s="813"/>
      <c r="M68" s="813"/>
      <c r="N68" s="813"/>
    </row>
    <row r="69" spans="1:14" x14ac:dyDescent="0.25">
      <c r="A69" s="813"/>
      <c r="B69" s="813"/>
      <c r="C69" s="813"/>
      <c r="D69" s="813"/>
      <c r="E69" s="813"/>
      <c r="F69" s="813"/>
      <c r="G69" s="813"/>
      <c r="H69" s="813"/>
      <c r="I69" s="813"/>
      <c r="J69" s="813"/>
      <c r="K69" s="813"/>
      <c r="L69" s="813"/>
      <c r="M69" s="813"/>
      <c r="N69" s="813"/>
    </row>
    <row r="70" spans="1:14" x14ac:dyDescent="0.25">
      <c r="A70" s="813"/>
      <c r="B70" s="813"/>
      <c r="C70" s="813"/>
      <c r="D70" s="813"/>
      <c r="E70" s="813"/>
      <c r="F70" s="813"/>
      <c r="G70" s="813"/>
      <c r="H70" s="813"/>
      <c r="I70" s="813"/>
      <c r="J70" s="813"/>
      <c r="K70" s="813"/>
      <c r="L70" s="813"/>
      <c r="M70" s="813"/>
      <c r="N70" s="813"/>
    </row>
    <row r="71" spans="1:14" x14ac:dyDescent="0.25">
      <c r="A71" s="813"/>
      <c r="B71" s="813"/>
      <c r="C71" s="813"/>
      <c r="D71" s="813"/>
      <c r="E71" s="813"/>
      <c r="F71" s="813"/>
      <c r="G71" s="813"/>
      <c r="H71" s="813"/>
      <c r="I71" s="813"/>
      <c r="J71" s="813"/>
      <c r="K71" s="813"/>
      <c r="L71" s="813"/>
      <c r="M71" s="813"/>
      <c r="N71" s="813"/>
    </row>
    <row r="72" spans="1:14" x14ac:dyDescent="0.25">
      <c r="A72" s="813"/>
      <c r="B72" s="813"/>
      <c r="C72" s="813"/>
      <c r="D72" s="813"/>
      <c r="E72" s="813"/>
      <c r="F72" s="813"/>
      <c r="G72" s="813"/>
      <c r="H72" s="813"/>
      <c r="I72" s="813"/>
      <c r="J72" s="813"/>
      <c r="K72" s="813"/>
      <c r="L72" s="813"/>
      <c r="M72" s="813"/>
      <c r="N72" s="813"/>
    </row>
    <row r="73" spans="1:14" x14ac:dyDescent="0.25">
      <c r="A73" s="813"/>
      <c r="B73" s="813"/>
      <c r="C73" s="813"/>
      <c r="D73" s="813"/>
      <c r="E73" s="813"/>
      <c r="F73" s="813"/>
      <c r="G73" s="813"/>
      <c r="H73" s="813"/>
      <c r="I73" s="813"/>
      <c r="J73" s="813"/>
      <c r="K73" s="813"/>
      <c r="L73" s="813"/>
      <c r="M73" s="813"/>
      <c r="N73" s="813"/>
    </row>
    <row r="74" spans="1:14" x14ac:dyDescent="0.25">
      <c r="A74" s="813"/>
      <c r="B74" s="813"/>
      <c r="C74" s="813"/>
      <c r="D74" s="813"/>
      <c r="E74" s="813"/>
      <c r="F74" s="813"/>
      <c r="G74" s="813"/>
      <c r="H74" s="813"/>
      <c r="I74" s="813"/>
      <c r="J74" s="813"/>
      <c r="K74" s="813"/>
      <c r="L74" s="813"/>
      <c r="M74" s="813"/>
      <c r="N74" s="813"/>
    </row>
    <row r="75" spans="1:14" x14ac:dyDescent="0.25">
      <c r="A75" s="813"/>
      <c r="B75" s="813"/>
      <c r="C75" s="813"/>
      <c r="D75" s="813"/>
      <c r="E75" s="813"/>
      <c r="F75" s="813"/>
      <c r="G75" s="813"/>
      <c r="H75" s="813"/>
      <c r="I75" s="813"/>
      <c r="J75" s="813"/>
      <c r="K75" s="813"/>
      <c r="L75" s="813"/>
      <c r="M75" s="813"/>
      <c r="N75" s="813"/>
    </row>
    <row r="76" spans="1:14" x14ac:dyDescent="0.25">
      <c r="A76" s="813"/>
      <c r="B76" s="813"/>
      <c r="C76" s="813"/>
      <c r="D76" s="813"/>
      <c r="E76" s="813"/>
      <c r="F76" s="813"/>
      <c r="G76" s="813"/>
      <c r="H76" s="813"/>
      <c r="I76" s="813"/>
      <c r="J76" s="813"/>
      <c r="K76" s="813"/>
      <c r="L76" s="813"/>
      <c r="M76" s="813"/>
      <c r="N76" s="813"/>
    </row>
    <row r="77" spans="1:14" x14ac:dyDescent="0.25">
      <c r="A77" s="813"/>
      <c r="B77" s="813"/>
      <c r="C77" s="813"/>
      <c r="D77" s="813"/>
      <c r="E77" s="813"/>
      <c r="F77" s="813"/>
      <c r="G77" s="813"/>
      <c r="H77" s="813"/>
      <c r="I77" s="813"/>
      <c r="J77" s="813"/>
      <c r="K77" s="813"/>
      <c r="L77" s="813"/>
      <c r="M77" s="813"/>
      <c r="N77" s="813"/>
    </row>
    <row r="78" spans="1:14" x14ac:dyDescent="0.25">
      <c r="A78" s="813"/>
      <c r="B78" s="813"/>
      <c r="C78" s="813"/>
      <c r="D78" s="813"/>
      <c r="E78" s="813"/>
      <c r="F78" s="813"/>
      <c r="G78" s="813"/>
      <c r="H78" s="813"/>
      <c r="I78" s="813"/>
      <c r="J78" s="813"/>
      <c r="K78" s="813"/>
      <c r="L78" s="813"/>
      <c r="M78" s="813"/>
      <c r="N78" s="813"/>
    </row>
    <row r="79" spans="1:14" x14ac:dyDescent="0.25">
      <c r="A79" s="813"/>
      <c r="B79" s="813"/>
      <c r="C79" s="813"/>
      <c r="D79" s="813"/>
      <c r="E79" s="813"/>
      <c r="F79" s="813"/>
      <c r="G79" s="813"/>
      <c r="H79" s="813"/>
      <c r="I79" s="813"/>
      <c r="J79" s="813"/>
      <c r="K79" s="813"/>
      <c r="L79" s="813"/>
      <c r="M79" s="813"/>
      <c r="N79" s="813"/>
    </row>
    <row r="80" spans="1:14" x14ac:dyDescent="0.25">
      <c r="A80" s="813"/>
      <c r="B80" s="813"/>
      <c r="C80" s="813"/>
      <c r="D80" s="813"/>
      <c r="E80" s="813"/>
      <c r="F80" s="813"/>
      <c r="G80" s="813"/>
      <c r="H80" s="813"/>
      <c r="I80" s="813"/>
      <c r="J80" s="813"/>
      <c r="K80" s="813"/>
      <c r="L80" s="813"/>
      <c r="M80" s="813"/>
      <c r="N80" s="813"/>
    </row>
    <row r="81" spans="1:14" x14ac:dyDescent="0.25">
      <c r="A81" s="813"/>
      <c r="B81" s="813"/>
      <c r="C81" s="813"/>
      <c r="D81" s="813"/>
      <c r="E81" s="813"/>
      <c r="F81" s="813"/>
      <c r="G81" s="813"/>
      <c r="H81" s="813"/>
      <c r="I81" s="813"/>
      <c r="J81" s="813"/>
      <c r="K81" s="813"/>
      <c r="L81" s="813"/>
      <c r="M81" s="813"/>
      <c r="N81" s="813"/>
    </row>
    <row r="82" spans="1:14" x14ac:dyDescent="0.25">
      <c r="A82" s="813"/>
      <c r="B82" s="813"/>
      <c r="C82" s="813"/>
      <c r="D82" s="813"/>
      <c r="E82" s="813"/>
      <c r="F82" s="813"/>
      <c r="G82" s="813"/>
      <c r="H82" s="813"/>
      <c r="I82" s="813"/>
      <c r="J82" s="813"/>
      <c r="K82" s="813"/>
      <c r="L82" s="813"/>
      <c r="M82" s="813"/>
      <c r="N82" s="813"/>
    </row>
    <row r="83" spans="1:14" x14ac:dyDescent="0.25">
      <c r="A83" s="813"/>
      <c r="B83" s="813"/>
      <c r="C83" s="813"/>
      <c r="D83" s="813"/>
      <c r="E83" s="813"/>
      <c r="F83" s="813"/>
      <c r="G83" s="813"/>
      <c r="H83" s="813"/>
      <c r="I83" s="813"/>
      <c r="J83" s="813"/>
      <c r="K83" s="813"/>
      <c r="L83" s="813"/>
      <c r="M83" s="813"/>
      <c r="N83" s="813"/>
    </row>
    <row r="84" spans="1:14" x14ac:dyDescent="0.25">
      <c r="A84" s="813"/>
      <c r="B84" s="813"/>
      <c r="C84" s="813"/>
      <c r="D84" s="813"/>
      <c r="E84" s="813"/>
      <c r="F84" s="813"/>
      <c r="G84" s="813"/>
      <c r="H84" s="813"/>
      <c r="I84" s="813"/>
      <c r="J84" s="813"/>
      <c r="K84" s="813"/>
      <c r="L84" s="813"/>
      <c r="M84" s="813"/>
      <c r="N84" s="813"/>
    </row>
    <row r="85" spans="1:14" x14ac:dyDescent="0.25">
      <c r="A85" s="813"/>
      <c r="B85" s="813"/>
      <c r="C85" s="813"/>
      <c r="D85" s="813"/>
      <c r="E85" s="813"/>
      <c r="F85" s="813"/>
      <c r="G85" s="813"/>
      <c r="H85" s="813"/>
      <c r="I85" s="813"/>
      <c r="J85" s="813"/>
      <c r="K85" s="813"/>
      <c r="L85" s="813"/>
      <c r="M85" s="813"/>
      <c r="N85" s="813"/>
    </row>
    <row r="86" spans="1:14" x14ac:dyDescent="0.25">
      <c r="A86" s="813"/>
      <c r="B86" s="813"/>
      <c r="C86" s="813"/>
      <c r="D86" s="813"/>
      <c r="E86" s="813"/>
      <c r="F86" s="813"/>
      <c r="G86" s="813"/>
      <c r="H86" s="813"/>
      <c r="I86" s="813"/>
      <c r="J86" s="813"/>
      <c r="K86" s="813"/>
      <c r="L86" s="813"/>
      <c r="M86" s="813"/>
      <c r="N86" s="813"/>
    </row>
    <row r="87" spans="1:14" x14ac:dyDescent="0.25">
      <c r="A87" s="813"/>
      <c r="B87" s="813"/>
      <c r="C87" s="813"/>
      <c r="D87" s="813"/>
      <c r="E87" s="813"/>
      <c r="F87" s="813"/>
      <c r="G87" s="813"/>
      <c r="H87" s="813"/>
      <c r="I87" s="813"/>
      <c r="J87" s="813"/>
      <c r="K87" s="813"/>
      <c r="L87" s="813"/>
      <c r="M87" s="813"/>
      <c r="N87" s="813"/>
    </row>
    <row r="88" spans="1:14" x14ac:dyDescent="0.25">
      <c r="A88" s="813"/>
      <c r="B88" s="813"/>
      <c r="C88" s="813"/>
      <c r="D88" s="813"/>
      <c r="E88" s="813"/>
      <c r="F88" s="813"/>
      <c r="G88" s="813"/>
      <c r="H88" s="813"/>
      <c r="I88" s="813"/>
      <c r="J88" s="813"/>
      <c r="K88" s="813"/>
      <c r="L88" s="813"/>
      <c r="M88" s="813"/>
      <c r="N88" s="813"/>
    </row>
    <row r="89" spans="1:14" x14ac:dyDescent="0.25">
      <c r="A89" s="813"/>
      <c r="B89" s="813"/>
      <c r="C89" s="813"/>
      <c r="D89" s="813"/>
      <c r="E89" s="813"/>
      <c r="F89" s="813"/>
      <c r="G89" s="813"/>
      <c r="H89" s="813"/>
      <c r="I89" s="813"/>
      <c r="J89" s="813"/>
      <c r="K89" s="813"/>
      <c r="L89" s="813"/>
      <c r="M89" s="813"/>
      <c r="N89" s="813"/>
    </row>
    <row r="90" spans="1:14" x14ac:dyDescent="0.25">
      <c r="A90" s="813"/>
      <c r="B90" s="813"/>
      <c r="C90" s="813"/>
      <c r="D90" s="813"/>
      <c r="E90" s="813"/>
      <c r="F90" s="813"/>
      <c r="G90" s="813"/>
      <c r="H90" s="813"/>
      <c r="I90" s="813"/>
      <c r="J90" s="813"/>
      <c r="K90" s="813"/>
      <c r="L90" s="813"/>
      <c r="M90" s="813"/>
      <c r="N90" s="813"/>
    </row>
    <row r="91" spans="1:14" x14ac:dyDescent="0.25">
      <c r="A91" s="813"/>
      <c r="B91" s="813"/>
      <c r="C91" s="813"/>
      <c r="D91" s="813"/>
      <c r="E91" s="813"/>
      <c r="F91" s="813"/>
      <c r="G91" s="813"/>
      <c r="H91" s="813"/>
      <c r="I91" s="813"/>
      <c r="J91" s="813"/>
      <c r="K91" s="813"/>
      <c r="L91" s="813"/>
      <c r="M91" s="813"/>
      <c r="N91" s="813"/>
    </row>
    <row r="92" spans="1:14" x14ac:dyDescent="0.25">
      <c r="A92" s="813"/>
      <c r="B92" s="813"/>
      <c r="C92" s="813"/>
      <c r="D92" s="813"/>
      <c r="E92" s="813"/>
      <c r="F92" s="813"/>
      <c r="G92" s="813"/>
      <c r="H92" s="813"/>
      <c r="I92" s="813"/>
      <c r="J92" s="813"/>
      <c r="K92" s="813"/>
      <c r="L92" s="813"/>
      <c r="M92" s="813"/>
      <c r="N92" s="813"/>
    </row>
    <row r="93" spans="1:14" x14ac:dyDescent="0.25">
      <c r="A93" s="813"/>
      <c r="B93" s="813"/>
      <c r="C93" s="813"/>
      <c r="D93" s="813"/>
      <c r="E93" s="813"/>
      <c r="F93" s="813"/>
      <c r="G93" s="813"/>
      <c r="H93" s="813"/>
      <c r="I93" s="813"/>
      <c r="J93" s="813"/>
      <c r="K93" s="813"/>
      <c r="L93" s="813"/>
      <c r="M93" s="813"/>
      <c r="N93" s="813"/>
    </row>
    <row r="94" spans="1:14" x14ac:dyDescent="0.25">
      <c r="A94" s="813"/>
      <c r="B94" s="813"/>
      <c r="C94" s="813"/>
      <c r="D94" s="813"/>
      <c r="E94" s="813"/>
      <c r="F94" s="813"/>
      <c r="G94" s="813"/>
      <c r="H94" s="813"/>
      <c r="I94" s="813"/>
      <c r="J94" s="813"/>
      <c r="K94" s="813"/>
      <c r="L94" s="813"/>
      <c r="M94" s="813"/>
      <c r="N94" s="813"/>
    </row>
    <row r="95" spans="1:14" x14ac:dyDescent="0.25">
      <c r="A95" s="813"/>
      <c r="B95" s="813"/>
      <c r="C95" s="813"/>
      <c r="D95" s="813"/>
      <c r="E95" s="813"/>
      <c r="F95" s="813"/>
      <c r="G95" s="813"/>
      <c r="H95" s="813"/>
      <c r="I95" s="813"/>
      <c r="J95" s="813"/>
      <c r="K95" s="813"/>
      <c r="L95" s="813"/>
      <c r="M95" s="813"/>
      <c r="N95" s="813"/>
    </row>
    <row r="96" spans="1:14" x14ac:dyDescent="0.25">
      <c r="A96" s="813"/>
      <c r="B96" s="813"/>
      <c r="C96" s="813"/>
      <c r="D96" s="813"/>
      <c r="E96" s="813"/>
      <c r="F96" s="813"/>
      <c r="G96" s="813"/>
      <c r="H96" s="813"/>
      <c r="I96" s="813"/>
      <c r="J96" s="813"/>
      <c r="K96" s="813"/>
      <c r="L96" s="813"/>
      <c r="M96" s="813"/>
      <c r="N96" s="813"/>
    </row>
    <row r="97" spans="1:14" x14ac:dyDescent="0.25">
      <c r="A97" s="813"/>
      <c r="B97" s="813"/>
      <c r="C97" s="813"/>
      <c r="D97" s="813"/>
      <c r="E97" s="813"/>
      <c r="F97" s="813"/>
      <c r="G97" s="813"/>
      <c r="H97" s="813"/>
      <c r="I97" s="813"/>
      <c r="J97" s="813"/>
      <c r="K97" s="813"/>
      <c r="L97" s="813"/>
      <c r="M97" s="813"/>
      <c r="N97" s="813"/>
    </row>
    <row r="98" spans="1:14" x14ac:dyDescent="0.25">
      <c r="A98" s="813"/>
      <c r="B98" s="813"/>
      <c r="C98" s="813"/>
      <c r="D98" s="813"/>
      <c r="E98" s="813"/>
      <c r="F98" s="813"/>
      <c r="G98" s="813"/>
      <c r="H98" s="813"/>
      <c r="I98" s="813"/>
      <c r="J98" s="813"/>
      <c r="K98" s="813"/>
      <c r="L98" s="813"/>
      <c r="M98" s="813"/>
      <c r="N98" s="813"/>
    </row>
    <row r="99" spans="1:14" x14ac:dyDescent="0.25">
      <c r="A99" s="813"/>
      <c r="B99" s="813"/>
      <c r="C99" s="813"/>
      <c r="D99" s="813"/>
      <c r="E99" s="813"/>
      <c r="F99" s="813"/>
      <c r="G99" s="813"/>
      <c r="H99" s="813"/>
      <c r="I99" s="813"/>
      <c r="J99" s="813"/>
      <c r="K99" s="813"/>
      <c r="L99" s="813"/>
      <c r="M99" s="813"/>
      <c r="N99" s="813"/>
    </row>
    <row r="100" spans="1:14" x14ac:dyDescent="0.25">
      <c r="A100" s="813"/>
      <c r="B100" s="813"/>
      <c r="C100" s="813"/>
      <c r="D100" s="813"/>
      <c r="E100" s="813"/>
      <c r="F100" s="813"/>
      <c r="G100" s="813"/>
      <c r="H100" s="813"/>
      <c r="I100" s="813"/>
      <c r="J100" s="813"/>
      <c r="K100" s="813"/>
      <c r="L100" s="813"/>
      <c r="M100" s="813"/>
      <c r="N100" s="813"/>
    </row>
    <row r="101" spans="1:14" x14ac:dyDescent="0.25">
      <c r="A101" s="813"/>
      <c r="B101" s="813"/>
      <c r="C101" s="813"/>
      <c r="D101" s="813"/>
      <c r="E101" s="813"/>
      <c r="F101" s="813"/>
      <c r="G101" s="813"/>
      <c r="H101" s="813"/>
      <c r="I101" s="813"/>
      <c r="J101" s="813"/>
      <c r="K101" s="813"/>
      <c r="L101" s="813"/>
      <c r="M101" s="813"/>
      <c r="N101" s="813"/>
    </row>
    <row r="102" spans="1:14" x14ac:dyDescent="0.25">
      <c r="A102" s="813"/>
      <c r="B102" s="813"/>
      <c r="C102" s="813"/>
      <c r="D102" s="813"/>
      <c r="E102" s="813"/>
      <c r="F102" s="813"/>
      <c r="G102" s="813"/>
      <c r="H102" s="813"/>
      <c r="I102" s="813"/>
      <c r="J102" s="813"/>
      <c r="K102" s="813"/>
      <c r="L102" s="813"/>
      <c r="M102" s="813"/>
      <c r="N102" s="813"/>
    </row>
    <row r="103" spans="1:14" x14ac:dyDescent="0.25">
      <c r="A103" s="813"/>
      <c r="B103" s="813"/>
      <c r="C103" s="813"/>
      <c r="D103" s="813"/>
      <c r="E103" s="813"/>
      <c r="F103" s="813"/>
      <c r="G103" s="813"/>
      <c r="H103" s="813"/>
      <c r="I103" s="813"/>
      <c r="J103" s="813"/>
      <c r="K103" s="813"/>
      <c r="L103" s="813"/>
      <c r="M103" s="813"/>
      <c r="N103" s="813"/>
    </row>
    <row r="104" spans="1:14" x14ac:dyDescent="0.25">
      <c r="A104" s="813"/>
      <c r="B104" s="813"/>
      <c r="C104" s="813"/>
      <c r="D104" s="813"/>
      <c r="E104" s="813"/>
      <c r="F104" s="813"/>
      <c r="G104" s="813"/>
      <c r="H104" s="813"/>
      <c r="I104" s="813"/>
      <c r="J104" s="813"/>
      <c r="K104" s="813"/>
      <c r="L104" s="813"/>
      <c r="M104" s="813"/>
      <c r="N104" s="813"/>
    </row>
    <row r="105" spans="1:14" x14ac:dyDescent="0.25">
      <c r="A105" s="813"/>
      <c r="B105" s="813"/>
      <c r="C105" s="813"/>
      <c r="D105" s="813"/>
      <c r="E105" s="813"/>
      <c r="F105" s="813"/>
      <c r="G105" s="813"/>
      <c r="H105" s="813"/>
      <c r="I105" s="813"/>
      <c r="J105" s="813"/>
      <c r="K105" s="813"/>
      <c r="L105" s="813"/>
      <c r="M105" s="813"/>
      <c r="N105" s="813"/>
    </row>
    <row r="106" spans="1:14" x14ac:dyDescent="0.25">
      <c r="A106" s="813"/>
      <c r="B106" s="813"/>
      <c r="C106" s="813"/>
      <c r="D106" s="813"/>
      <c r="E106" s="813"/>
      <c r="F106" s="813"/>
      <c r="G106" s="813"/>
      <c r="H106" s="813"/>
      <c r="I106" s="813"/>
      <c r="J106" s="813"/>
      <c r="K106" s="813"/>
      <c r="L106" s="813"/>
      <c r="M106" s="813"/>
      <c r="N106" s="813"/>
    </row>
    <row r="107" spans="1:14" x14ac:dyDescent="0.25">
      <c r="A107" s="813"/>
      <c r="B107" s="813"/>
      <c r="C107" s="813"/>
      <c r="D107" s="813"/>
      <c r="E107" s="813"/>
      <c r="F107" s="813"/>
      <c r="G107" s="813"/>
      <c r="H107" s="813"/>
      <c r="I107" s="813"/>
      <c r="J107" s="813"/>
      <c r="K107" s="813"/>
      <c r="L107" s="813"/>
      <c r="M107" s="813"/>
      <c r="N107" s="813"/>
    </row>
    <row r="108" spans="1:14" x14ac:dyDescent="0.25">
      <c r="A108" s="813"/>
      <c r="B108" s="813"/>
      <c r="C108" s="813"/>
      <c r="D108" s="813"/>
      <c r="E108" s="813"/>
      <c r="F108" s="813"/>
      <c r="G108" s="813"/>
      <c r="H108" s="813"/>
      <c r="I108" s="813"/>
      <c r="J108" s="813"/>
      <c r="K108" s="813"/>
      <c r="L108" s="813"/>
      <c r="M108" s="813"/>
      <c r="N108" s="813"/>
    </row>
    <row r="109" spans="1:14" x14ac:dyDescent="0.25">
      <c r="A109" s="813"/>
      <c r="B109" s="813"/>
      <c r="C109" s="813"/>
      <c r="D109" s="813"/>
      <c r="E109" s="813"/>
      <c r="F109" s="813"/>
      <c r="G109" s="813"/>
      <c r="H109" s="813"/>
      <c r="I109" s="813"/>
      <c r="J109" s="813"/>
      <c r="K109" s="813"/>
      <c r="L109" s="813"/>
      <c r="M109" s="813"/>
      <c r="N109" s="813"/>
    </row>
    <row r="110" spans="1:14" x14ac:dyDescent="0.25">
      <c r="A110" s="813"/>
      <c r="B110" s="813"/>
      <c r="C110" s="813"/>
      <c r="D110" s="813"/>
      <c r="E110" s="813"/>
      <c r="F110" s="813"/>
      <c r="G110" s="813"/>
      <c r="H110" s="813"/>
      <c r="I110" s="813"/>
      <c r="J110" s="813"/>
      <c r="K110" s="813"/>
      <c r="L110" s="813"/>
      <c r="M110" s="813"/>
      <c r="N110" s="813"/>
    </row>
    <row r="111" spans="1:14" x14ac:dyDescent="0.25">
      <c r="A111" s="813"/>
      <c r="B111" s="813"/>
      <c r="C111" s="813"/>
      <c r="D111" s="813"/>
      <c r="E111" s="813"/>
      <c r="F111" s="813"/>
      <c r="G111" s="813"/>
      <c r="H111" s="813"/>
      <c r="I111" s="813"/>
      <c r="J111" s="813"/>
      <c r="K111" s="813"/>
      <c r="L111" s="813"/>
      <c r="M111" s="813"/>
      <c r="N111" s="813"/>
    </row>
    <row r="112" spans="1:14" x14ac:dyDescent="0.25">
      <c r="A112" s="813"/>
      <c r="B112" s="813"/>
      <c r="C112" s="813"/>
      <c r="D112" s="813"/>
      <c r="E112" s="813"/>
      <c r="F112" s="813"/>
      <c r="G112" s="813"/>
      <c r="H112" s="813"/>
      <c r="I112" s="813"/>
      <c r="J112" s="813"/>
      <c r="K112" s="813"/>
      <c r="L112" s="813"/>
      <c r="M112" s="813"/>
      <c r="N112" s="813"/>
    </row>
    <row r="113" spans="1:14" x14ac:dyDescent="0.25">
      <c r="A113" s="813"/>
      <c r="B113" s="813"/>
      <c r="C113" s="813"/>
      <c r="D113" s="813"/>
      <c r="E113" s="813"/>
      <c r="F113" s="813"/>
      <c r="G113" s="813"/>
      <c r="H113" s="813"/>
      <c r="I113" s="813"/>
      <c r="J113" s="813"/>
      <c r="K113" s="813"/>
      <c r="L113" s="813"/>
      <c r="M113" s="813"/>
      <c r="N113" s="813"/>
    </row>
    <row r="114" spans="1:14" x14ac:dyDescent="0.25">
      <c r="A114" s="813"/>
      <c r="B114" s="813"/>
      <c r="C114" s="813"/>
      <c r="D114" s="813"/>
      <c r="E114" s="813"/>
      <c r="F114" s="813"/>
      <c r="G114" s="813"/>
      <c r="H114" s="813"/>
      <c r="I114" s="813"/>
      <c r="J114" s="813"/>
      <c r="K114" s="813"/>
      <c r="L114" s="813"/>
      <c r="M114" s="813"/>
      <c r="N114" s="813"/>
    </row>
    <row r="115" spans="1:14" x14ac:dyDescent="0.25">
      <c r="A115" s="813"/>
      <c r="B115" s="813"/>
      <c r="C115" s="813"/>
      <c r="D115" s="813"/>
      <c r="E115" s="813"/>
      <c r="F115" s="813"/>
      <c r="G115" s="813"/>
      <c r="H115" s="813"/>
      <c r="I115" s="813"/>
      <c r="J115" s="813"/>
      <c r="K115" s="813"/>
      <c r="L115" s="813"/>
      <c r="M115" s="813"/>
      <c r="N115" s="813"/>
    </row>
    <row r="116" spans="1:14" x14ac:dyDescent="0.25">
      <c r="A116" s="813"/>
      <c r="B116" s="813"/>
      <c r="C116" s="813"/>
      <c r="D116" s="813"/>
      <c r="E116" s="813"/>
      <c r="F116" s="813"/>
      <c r="G116" s="813"/>
      <c r="H116" s="813"/>
      <c r="I116" s="813"/>
      <c r="J116" s="813"/>
      <c r="K116" s="813"/>
      <c r="L116" s="813"/>
      <c r="M116" s="813"/>
      <c r="N116" s="813"/>
    </row>
    <row r="117" spans="1:14" x14ac:dyDescent="0.25">
      <c r="A117" s="813"/>
      <c r="B117" s="813"/>
      <c r="C117" s="813"/>
      <c r="D117" s="813"/>
      <c r="E117" s="813"/>
      <c r="F117" s="813"/>
      <c r="G117" s="813"/>
      <c r="H117" s="813"/>
      <c r="I117" s="813"/>
      <c r="J117" s="813"/>
      <c r="K117" s="813"/>
      <c r="L117" s="813"/>
      <c r="M117" s="813"/>
      <c r="N117" s="813"/>
    </row>
    <row r="118" spans="1:14" x14ac:dyDescent="0.25">
      <c r="A118" s="813"/>
      <c r="B118" s="813"/>
      <c r="C118" s="813"/>
      <c r="D118" s="813"/>
      <c r="E118" s="813"/>
      <c r="F118" s="813"/>
      <c r="G118" s="813"/>
      <c r="H118" s="813"/>
      <c r="I118" s="813"/>
      <c r="J118" s="813"/>
      <c r="K118" s="813"/>
      <c r="L118" s="813"/>
      <c r="M118" s="813"/>
      <c r="N118" s="813"/>
    </row>
    <row r="119" spans="1:14" x14ac:dyDescent="0.25">
      <c r="A119" s="813"/>
      <c r="B119" s="813"/>
      <c r="C119" s="813"/>
      <c r="D119" s="813"/>
      <c r="E119" s="813"/>
      <c r="F119" s="813"/>
      <c r="G119" s="813"/>
      <c r="H119" s="813"/>
      <c r="I119" s="813"/>
      <c r="J119" s="813"/>
      <c r="K119" s="813"/>
      <c r="L119" s="813"/>
      <c r="M119" s="813"/>
      <c r="N119" s="813"/>
    </row>
    <row r="120" spans="1:14" x14ac:dyDescent="0.25">
      <c r="A120" s="813"/>
      <c r="B120" s="813"/>
      <c r="C120" s="813"/>
      <c r="D120" s="813"/>
      <c r="E120" s="813"/>
      <c r="F120" s="813"/>
      <c r="G120" s="813"/>
      <c r="H120" s="813"/>
      <c r="I120" s="813"/>
      <c r="J120" s="813"/>
      <c r="K120" s="813"/>
      <c r="L120" s="813"/>
      <c r="M120" s="813"/>
      <c r="N120" s="813"/>
    </row>
    <row r="121" spans="1:14" x14ac:dyDescent="0.25">
      <c r="A121" s="813"/>
      <c r="B121" s="813"/>
      <c r="C121" s="813"/>
      <c r="D121" s="813"/>
      <c r="E121" s="813"/>
      <c r="F121" s="813"/>
      <c r="G121" s="813"/>
      <c r="H121" s="813"/>
      <c r="I121" s="813"/>
      <c r="J121" s="813"/>
      <c r="K121" s="813"/>
      <c r="L121" s="813"/>
      <c r="M121" s="813"/>
      <c r="N121" s="813"/>
    </row>
    <row r="122" spans="1:14" x14ac:dyDescent="0.25">
      <c r="A122" s="813"/>
      <c r="B122" s="813"/>
      <c r="C122" s="813"/>
      <c r="D122" s="813"/>
      <c r="E122" s="813"/>
      <c r="F122" s="813"/>
      <c r="G122" s="813"/>
      <c r="H122" s="813"/>
      <c r="I122" s="813"/>
      <c r="J122" s="813"/>
      <c r="K122" s="813"/>
      <c r="L122" s="813"/>
      <c r="M122" s="813"/>
      <c r="N122" s="813"/>
    </row>
    <row r="123" spans="1:14" x14ac:dyDescent="0.25">
      <c r="A123" s="813"/>
      <c r="B123" s="813"/>
      <c r="C123" s="813"/>
      <c r="D123" s="813"/>
      <c r="E123" s="813"/>
      <c r="F123" s="813"/>
      <c r="G123" s="813"/>
      <c r="H123" s="813"/>
      <c r="I123" s="813"/>
      <c r="J123" s="813"/>
      <c r="K123" s="813"/>
      <c r="L123" s="813"/>
      <c r="M123" s="813"/>
      <c r="N123" s="813"/>
    </row>
    <row r="124" spans="1:14" x14ac:dyDescent="0.25">
      <c r="A124" s="813"/>
      <c r="B124" s="813"/>
      <c r="C124" s="813"/>
      <c r="D124" s="813"/>
      <c r="E124" s="813"/>
      <c r="F124" s="813"/>
      <c r="G124" s="813"/>
      <c r="H124" s="813"/>
      <c r="I124" s="813"/>
      <c r="J124" s="813"/>
      <c r="K124" s="813"/>
      <c r="L124" s="813"/>
      <c r="M124" s="813"/>
      <c r="N124" s="813"/>
    </row>
    <row r="125" spans="1:14" x14ac:dyDescent="0.25">
      <c r="A125" s="813"/>
      <c r="B125" s="813"/>
      <c r="C125" s="813"/>
      <c r="D125" s="813"/>
      <c r="E125" s="813"/>
      <c r="F125" s="813"/>
      <c r="G125" s="813"/>
      <c r="H125" s="813"/>
      <c r="I125" s="813"/>
      <c r="J125" s="813"/>
      <c r="K125" s="813"/>
      <c r="L125" s="813"/>
      <c r="M125" s="813"/>
      <c r="N125" s="813"/>
    </row>
    <row r="126" spans="1:14" x14ac:dyDescent="0.25">
      <c r="A126" s="813"/>
      <c r="B126" s="813"/>
      <c r="C126" s="813"/>
      <c r="D126" s="813"/>
      <c r="E126" s="813"/>
      <c r="F126" s="813"/>
      <c r="G126" s="813"/>
      <c r="H126" s="813"/>
      <c r="I126" s="813"/>
      <c r="J126" s="813"/>
      <c r="K126" s="813"/>
      <c r="L126" s="813"/>
      <c r="M126" s="813"/>
      <c r="N126" s="813"/>
    </row>
    <row r="127" spans="1:14" x14ac:dyDescent="0.25">
      <c r="A127" s="813"/>
      <c r="B127" s="813"/>
      <c r="C127" s="813"/>
      <c r="D127" s="813"/>
      <c r="E127" s="813"/>
      <c r="F127" s="813"/>
      <c r="G127" s="813"/>
      <c r="H127" s="813"/>
      <c r="I127" s="813"/>
      <c r="J127" s="813"/>
      <c r="K127" s="813"/>
      <c r="L127" s="813"/>
      <c r="M127" s="813"/>
      <c r="N127" s="813"/>
    </row>
    <row r="128" spans="1:14" x14ac:dyDescent="0.25">
      <c r="A128" s="813"/>
      <c r="B128" s="813"/>
      <c r="C128" s="813"/>
      <c r="D128" s="813"/>
      <c r="E128" s="813"/>
      <c r="F128" s="813"/>
      <c r="G128" s="813"/>
      <c r="H128" s="813"/>
      <c r="I128" s="813"/>
      <c r="J128" s="813"/>
      <c r="K128" s="813"/>
      <c r="L128" s="813"/>
      <c r="M128" s="813"/>
      <c r="N128" s="813"/>
    </row>
    <row r="129" spans="1:14" x14ac:dyDescent="0.25">
      <c r="A129" s="813"/>
      <c r="B129" s="813"/>
      <c r="C129" s="813"/>
      <c r="D129" s="813"/>
      <c r="E129" s="813"/>
      <c r="F129" s="813"/>
      <c r="G129" s="813"/>
      <c r="H129" s="813"/>
      <c r="I129" s="813"/>
      <c r="J129" s="813"/>
      <c r="K129" s="813"/>
      <c r="L129" s="813"/>
      <c r="M129" s="813"/>
      <c r="N129" s="813"/>
    </row>
    <row r="130" spans="1:14" x14ac:dyDescent="0.25">
      <c r="A130" s="813"/>
      <c r="B130" s="813"/>
      <c r="C130" s="813"/>
      <c r="D130" s="813"/>
      <c r="E130" s="813"/>
      <c r="F130" s="813"/>
      <c r="G130" s="813"/>
      <c r="H130" s="813"/>
      <c r="I130" s="813"/>
      <c r="J130" s="813"/>
      <c r="K130" s="813"/>
      <c r="L130" s="813"/>
      <c r="M130" s="813"/>
      <c r="N130" s="813"/>
    </row>
    <row r="131" spans="1:14" x14ac:dyDescent="0.25">
      <c r="A131" s="813"/>
      <c r="B131" s="813"/>
      <c r="C131" s="813"/>
      <c r="D131" s="813"/>
      <c r="E131" s="813"/>
      <c r="F131" s="813"/>
      <c r="G131" s="813"/>
      <c r="H131" s="813"/>
      <c r="I131" s="813"/>
      <c r="J131" s="813"/>
      <c r="K131" s="813"/>
      <c r="L131" s="813"/>
      <c r="M131" s="813"/>
      <c r="N131" s="813"/>
    </row>
    <row r="132" spans="1:14" x14ac:dyDescent="0.25">
      <c r="A132" s="813"/>
      <c r="B132" s="813"/>
      <c r="C132" s="813"/>
      <c r="D132" s="813"/>
      <c r="E132" s="813"/>
      <c r="F132" s="813"/>
      <c r="G132" s="813"/>
      <c r="H132" s="813"/>
      <c r="I132" s="813"/>
      <c r="J132" s="813"/>
      <c r="K132" s="813"/>
      <c r="L132" s="813"/>
      <c r="M132" s="813"/>
      <c r="N132" s="813"/>
    </row>
    <row r="133" spans="1:14" x14ac:dyDescent="0.25">
      <c r="A133" s="813"/>
      <c r="B133" s="813"/>
      <c r="C133" s="813"/>
      <c r="D133" s="813"/>
      <c r="E133" s="813"/>
      <c r="F133" s="813"/>
      <c r="G133" s="813"/>
      <c r="H133" s="813"/>
      <c r="I133" s="813"/>
      <c r="J133" s="813"/>
      <c r="K133" s="813"/>
      <c r="L133" s="813"/>
      <c r="M133" s="813"/>
      <c r="N133" s="813"/>
    </row>
    <row r="134" spans="1:14" x14ac:dyDescent="0.25">
      <c r="A134" s="813"/>
      <c r="B134" s="813"/>
      <c r="C134" s="813"/>
      <c r="D134" s="813"/>
      <c r="E134" s="813"/>
      <c r="F134" s="813"/>
      <c r="G134" s="813"/>
      <c r="H134" s="813"/>
      <c r="I134" s="813"/>
      <c r="J134" s="813"/>
      <c r="K134" s="813"/>
      <c r="L134" s="813"/>
      <c r="M134" s="813"/>
      <c r="N134" s="813"/>
    </row>
    <row r="135" spans="1:14" x14ac:dyDescent="0.25">
      <c r="A135" s="813"/>
      <c r="B135" s="813"/>
      <c r="C135" s="813"/>
      <c r="D135" s="813"/>
      <c r="E135" s="813"/>
      <c r="F135" s="813"/>
      <c r="G135" s="813"/>
      <c r="H135" s="813"/>
      <c r="I135" s="813"/>
      <c r="J135" s="813"/>
      <c r="K135" s="813"/>
      <c r="L135" s="813"/>
      <c r="M135" s="813"/>
      <c r="N135" s="813"/>
    </row>
    <row r="136" spans="1:14" x14ac:dyDescent="0.25">
      <c r="A136" s="813"/>
      <c r="B136" s="813"/>
      <c r="C136" s="813"/>
      <c r="D136" s="813"/>
      <c r="E136" s="813"/>
      <c r="F136" s="813"/>
      <c r="G136" s="813"/>
      <c r="H136" s="813"/>
      <c r="I136" s="813"/>
      <c r="J136" s="813"/>
      <c r="K136" s="813"/>
      <c r="L136" s="813"/>
      <c r="M136" s="813"/>
      <c r="N136" s="813"/>
    </row>
    <row r="137" spans="1:14" x14ac:dyDescent="0.25">
      <c r="A137" s="813"/>
      <c r="B137" s="813"/>
      <c r="C137" s="813"/>
      <c r="D137" s="813"/>
      <c r="E137" s="813"/>
      <c r="F137" s="813"/>
      <c r="G137" s="813"/>
      <c r="H137" s="813"/>
      <c r="I137" s="813"/>
      <c r="J137" s="813"/>
      <c r="K137" s="813"/>
      <c r="L137" s="813"/>
      <c r="M137" s="813"/>
      <c r="N137" s="813"/>
    </row>
    <row r="138" spans="1:14" x14ac:dyDescent="0.25">
      <c r="A138" s="813"/>
      <c r="B138" s="813"/>
      <c r="C138" s="813"/>
      <c r="D138" s="813"/>
      <c r="E138" s="813"/>
      <c r="F138" s="813"/>
      <c r="G138" s="813"/>
      <c r="H138" s="813"/>
      <c r="I138" s="813"/>
      <c r="J138" s="813"/>
      <c r="K138" s="813"/>
      <c r="L138" s="813"/>
      <c r="M138" s="813"/>
      <c r="N138" s="813"/>
    </row>
    <row r="139" spans="1:14" x14ac:dyDescent="0.25">
      <c r="A139" s="813"/>
      <c r="B139" s="813"/>
      <c r="C139" s="813"/>
      <c r="D139" s="813"/>
      <c r="E139" s="813"/>
      <c r="F139" s="813"/>
      <c r="G139" s="813"/>
      <c r="H139" s="813"/>
      <c r="I139" s="813"/>
      <c r="J139" s="813"/>
      <c r="K139" s="813"/>
      <c r="L139" s="813"/>
      <c r="M139" s="813"/>
      <c r="N139" s="813"/>
    </row>
    <row r="140" spans="1:14" x14ac:dyDescent="0.25">
      <c r="A140" s="813"/>
      <c r="B140" s="813"/>
      <c r="C140" s="813"/>
      <c r="D140" s="813"/>
      <c r="E140" s="813"/>
      <c r="F140" s="813"/>
      <c r="G140" s="813"/>
      <c r="H140" s="813"/>
      <c r="I140" s="813"/>
      <c r="J140" s="813"/>
      <c r="K140" s="813"/>
      <c r="L140" s="813"/>
      <c r="M140" s="813"/>
      <c r="N140" s="813"/>
    </row>
    <row r="141" spans="1:14" x14ac:dyDescent="0.25">
      <c r="A141" s="813"/>
      <c r="B141" s="813"/>
      <c r="C141" s="813"/>
      <c r="D141" s="813"/>
      <c r="E141" s="813"/>
      <c r="F141" s="813"/>
      <c r="G141" s="813"/>
      <c r="H141" s="813"/>
      <c r="I141" s="813"/>
      <c r="J141" s="813"/>
      <c r="K141" s="813"/>
      <c r="L141" s="813"/>
      <c r="M141" s="813"/>
      <c r="N141" s="813"/>
    </row>
    <row r="142" spans="1:14" x14ac:dyDescent="0.25">
      <c r="A142" s="813"/>
      <c r="B142" s="813"/>
      <c r="C142" s="813"/>
      <c r="D142" s="813"/>
      <c r="E142" s="813"/>
      <c r="F142" s="813"/>
      <c r="G142" s="813"/>
      <c r="H142" s="813"/>
      <c r="I142" s="813"/>
      <c r="J142" s="813"/>
      <c r="K142" s="813"/>
      <c r="L142" s="813"/>
      <c r="M142" s="813"/>
      <c r="N142" s="813"/>
    </row>
    <row r="143" spans="1:14" x14ac:dyDescent="0.25">
      <c r="A143" s="813"/>
      <c r="B143" s="813"/>
      <c r="C143" s="813"/>
      <c r="D143" s="813"/>
      <c r="E143" s="813"/>
      <c r="F143" s="813"/>
      <c r="G143" s="813"/>
      <c r="H143" s="813"/>
      <c r="I143" s="813"/>
      <c r="J143" s="813"/>
      <c r="K143" s="813"/>
      <c r="L143" s="813"/>
      <c r="M143" s="813"/>
      <c r="N143" s="813"/>
    </row>
    <row r="144" spans="1:14" x14ac:dyDescent="0.25">
      <c r="A144" s="813"/>
      <c r="B144" s="813"/>
      <c r="C144" s="813"/>
      <c r="D144" s="813"/>
      <c r="E144" s="813"/>
      <c r="F144" s="813"/>
      <c r="G144" s="813"/>
      <c r="H144" s="813"/>
      <c r="I144" s="813"/>
      <c r="J144" s="813"/>
      <c r="K144" s="813"/>
      <c r="L144" s="813"/>
      <c r="M144" s="813"/>
      <c r="N144" s="813"/>
    </row>
    <row r="145" spans="1:14" x14ac:dyDescent="0.25">
      <c r="A145" s="813"/>
      <c r="B145" s="813"/>
      <c r="C145" s="813"/>
      <c r="D145" s="813"/>
      <c r="E145" s="813"/>
      <c r="F145" s="813"/>
      <c r="G145" s="813"/>
      <c r="H145" s="813"/>
      <c r="I145" s="813"/>
      <c r="J145" s="813"/>
      <c r="K145" s="813"/>
      <c r="L145" s="813"/>
      <c r="M145" s="813"/>
      <c r="N145" s="813"/>
    </row>
    <row r="146" spans="1:14" x14ac:dyDescent="0.25">
      <c r="A146" s="813"/>
      <c r="B146" s="813"/>
      <c r="C146" s="813"/>
      <c r="D146" s="813"/>
      <c r="E146" s="813"/>
      <c r="F146" s="813"/>
      <c r="G146" s="813"/>
      <c r="H146" s="813"/>
      <c r="I146" s="813"/>
      <c r="J146" s="813"/>
      <c r="K146" s="813"/>
      <c r="L146" s="813"/>
      <c r="M146" s="813"/>
      <c r="N146" s="813"/>
    </row>
    <row r="147" spans="1:14" x14ac:dyDescent="0.25">
      <c r="A147" s="813"/>
      <c r="B147" s="813"/>
      <c r="C147" s="813"/>
      <c r="D147" s="813"/>
      <c r="E147" s="813"/>
      <c r="F147" s="813"/>
      <c r="G147" s="813"/>
      <c r="H147" s="813"/>
      <c r="I147" s="813"/>
      <c r="J147" s="813"/>
      <c r="K147" s="813"/>
      <c r="L147" s="813"/>
      <c r="M147" s="813"/>
      <c r="N147" s="813"/>
    </row>
    <row r="148" spans="1:14" x14ac:dyDescent="0.25">
      <c r="A148" s="813"/>
      <c r="B148" s="813"/>
      <c r="C148" s="813"/>
      <c r="D148" s="813"/>
      <c r="E148" s="813"/>
      <c r="F148" s="813"/>
      <c r="G148" s="813"/>
      <c r="H148" s="813"/>
      <c r="I148" s="813"/>
      <c r="J148" s="813"/>
      <c r="K148" s="813"/>
      <c r="L148" s="813"/>
      <c r="M148" s="813"/>
      <c r="N148" s="813"/>
    </row>
    <row r="149" spans="1:14" x14ac:dyDescent="0.25">
      <c r="A149" s="813"/>
      <c r="B149" s="813"/>
      <c r="C149" s="813"/>
      <c r="D149" s="813"/>
      <c r="E149" s="813"/>
      <c r="F149" s="813"/>
      <c r="G149" s="813"/>
      <c r="H149" s="813"/>
      <c r="I149" s="813"/>
      <c r="J149" s="813"/>
      <c r="K149" s="813"/>
      <c r="L149" s="813"/>
      <c r="M149" s="813"/>
      <c r="N149" s="813"/>
    </row>
    <row r="150" spans="1:14" x14ac:dyDescent="0.25">
      <c r="A150" s="813"/>
      <c r="B150" s="813"/>
      <c r="C150" s="813"/>
      <c r="D150" s="813"/>
      <c r="E150" s="813"/>
      <c r="F150" s="813"/>
      <c r="G150" s="813"/>
      <c r="H150" s="813"/>
      <c r="I150" s="813"/>
      <c r="J150" s="813"/>
      <c r="K150" s="813"/>
      <c r="L150" s="813"/>
      <c r="M150" s="813"/>
      <c r="N150" s="813"/>
    </row>
    <row r="151" spans="1:14" x14ac:dyDescent="0.25">
      <c r="A151" s="813"/>
      <c r="B151" s="813"/>
      <c r="C151" s="813"/>
      <c r="D151" s="813"/>
      <c r="E151" s="813"/>
      <c r="F151" s="813"/>
      <c r="G151" s="813"/>
      <c r="H151" s="813"/>
      <c r="I151" s="813"/>
      <c r="J151" s="813"/>
      <c r="K151" s="813"/>
      <c r="L151" s="813"/>
      <c r="M151" s="813"/>
      <c r="N151" s="813"/>
    </row>
    <row r="152" spans="1:14" x14ac:dyDescent="0.25">
      <c r="A152" s="813"/>
      <c r="B152" s="813"/>
      <c r="C152" s="813"/>
      <c r="D152" s="813"/>
      <c r="E152" s="813"/>
      <c r="F152" s="813"/>
      <c r="G152" s="813"/>
      <c r="H152" s="813"/>
      <c r="I152" s="813"/>
      <c r="J152" s="813"/>
      <c r="K152" s="813"/>
      <c r="L152" s="813"/>
      <c r="M152" s="813"/>
      <c r="N152" s="813"/>
    </row>
    <row r="153" spans="1:14" x14ac:dyDescent="0.25">
      <c r="A153" s="813"/>
      <c r="B153" s="813"/>
      <c r="C153" s="813"/>
      <c r="D153" s="813"/>
      <c r="E153" s="813"/>
      <c r="F153" s="813"/>
      <c r="G153" s="813"/>
      <c r="H153" s="813"/>
      <c r="I153" s="813"/>
      <c r="J153" s="813"/>
      <c r="K153" s="813"/>
      <c r="L153" s="813"/>
      <c r="M153" s="813"/>
      <c r="N153" s="813"/>
    </row>
    <row r="154" spans="1:14" x14ac:dyDescent="0.25">
      <c r="A154" s="813"/>
      <c r="B154" s="813"/>
      <c r="C154" s="813"/>
      <c r="D154" s="813"/>
      <c r="E154" s="813"/>
      <c r="F154" s="813"/>
      <c r="G154" s="813"/>
      <c r="H154" s="813"/>
      <c r="I154" s="813"/>
      <c r="J154" s="813"/>
      <c r="K154" s="813"/>
      <c r="L154" s="813"/>
      <c r="M154" s="813"/>
      <c r="N154" s="813"/>
    </row>
    <row r="155" spans="1:14" x14ac:dyDescent="0.25">
      <c r="A155" s="813"/>
      <c r="B155" s="813"/>
      <c r="C155" s="813"/>
      <c r="D155" s="813"/>
      <c r="E155" s="813"/>
      <c r="F155" s="813"/>
      <c r="G155" s="813"/>
      <c r="H155" s="813"/>
      <c r="I155" s="813"/>
      <c r="J155" s="813"/>
      <c r="K155" s="813"/>
      <c r="L155" s="813"/>
      <c r="M155" s="813"/>
      <c r="N155" s="813"/>
    </row>
    <row r="156" spans="1:14" x14ac:dyDescent="0.25">
      <c r="A156" s="813"/>
      <c r="B156" s="813"/>
      <c r="C156" s="813"/>
      <c r="D156" s="813"/>
      <c r="E156" s="813"/>
      <c r="F156" s="813"/>
      <c r="G156" s="813"/>
      <c r="H156" s="813"/>
      <c r="I156" s="813"/>
      <c r="J156" s="813"/>
      <c r="K156" s="813"/>
      <c r="L156" s="813"/>
      <c r="M156" s="813"/>
      <c r="N156" s="813"/>
    </row>
    <row r="157" spans="1:14" x14ac:dyDescent="0.25">
      <c r="A157" s="813"/>
      <c r="B157" s="813"/>
      <c r="C157" s="813"/>
      <c r="D157" s="813"/>
      <c r="E157" s="813"/>
      <c r="F157" s="813"/>
      <c r="G157" s="813"/>
      <c r="H157" s="813"/>
      <c r="I157" s="813"/>
      <c r="J157" s="813"/>
      <c r="K157" s="813"/>
      <c r="L157" s="813"/>
      <c r="M157" s="813"/>
      <c r="N157" s="813"/>
    </row>
    <row r="158" spans="1:14" x14ac:dyDescent="0.25">
      <c r="A158" s="813"/>
      <c r="B158" s="813"/>
      <c r="C158" s="813"/>
      <c r="D158" s="813"/>
      <c r="E158" s="813"/>
      <c r="F158" s="813"/>
      <c r="G158" s="813"/>
      <c r="H158" s="813"/>
      <c r="I158" s="813"/>
      <c r="J158" s="813"/>
      <c r="K158" s="813"/>
      <c r="L158" s="813"/>
      <c r="M158" s="813"/>
      <c r="N158" s="813"/>
    </row>
    <row r="159" spans="1:14" x14ac:dyDescent="0.25">
      <c r="A159" s="813"/>
      <c r="B159" s="813"/>
      <c r="C159" s="813"/>
      <c r="D159" s="813"/>
      <c r="E159" s="813"/>
      <c r="F159" s="813"/>
      <c r="G159" s="813"/>
      <c r="H159" s="813"/>
      <c r="I159" s="813"/>
      <c r="J159" s="813"/>
      <c r="K159" s="813"/>
      <c r="L159" s="813"/>
      <c r="M159" s="813"/>
      <c r="N159" s="813"/>
    </row>
    <row r="160" spans="1:14" x14ac:dyDescent="0.25">
      <c r="A160" s="813"/>
      <c r="B160" s="813"/>
      <c r="C160" s="813"/>
      <c r="D160" s="813"/>
      <c r="E160" s="813"/>
      <c r="F160" s="813"/>
      <c r="G160" s="813"/>
      <c r="H160" s="813"/>
      <c r="I160" s="813"/>
      <c r="J160" s="813"/>
      <c r="K160" s="813"/>
      <c r="L160" s="813"/>
      <c r="M160" s="813"/>
      <c r="N160" s="813"/>
    </row>
    <row r="161" spans="1:14" x14ac:dyDescent="0.25">
      <c r="A161" s="813"/>
      <c r="B161" s="813"/>
      <c r="C161" s="813"/>
      <c r="D161" s="813"/>
      <c r="E161" s="813"/>
      <c r="F161" s="813"/>
      <c r="G161" s="813"/>
      <c r="H161" s="813"/>
      <c r="I161" s="813"/>
      <c r="J161" s="813"/>
      <c r="K161" s="813"/>
      <c r="L161" s="813"/>
      <c r="M161" s="813"/>
      <c r="N161" s="813"/>
    </row>
    <row r="162" spans="1:14" x14ac:dyDescent="0.25">
      <c r="A162" s="813"/>
      <c r="B162" s="813"/>
      <c r="C162" s="813"/>
      <c r="D162" s="813"/>
      <c r="E162" s="813"/>
      <c r="F162" s="813"/>
      <c r="G162" s="813"/>
      <c r="H162" s="813"/>
      <c r="I162" s="813"/>
      <c r="J162" s="813"/>
      <c r="K162" s="813"/>
      <c r="L162" s="813"/>
      <c r="M162" s="813"/>
      <c r="N162" s="813"/>
    </row>
    <row r="163" spans="1:14" x14ac:dyDescent="0.25">
      <c r="A163" s="813"/>
      <c r="B163" s="813"/>
      <c r="C163" s="813"/>
      <c r="D163" s="813"/>
      <c r="E163" s="813"/>
      <c r="F163" s="813"/>
      <c r="G163" s="813"/>
      <c r="H163" s="813"/>
      <c r="I163" s="813"/>
      <c r="J163" s="813"/>
      <c r="K163" s="813"/>
      <c r="L163" s="813"/>
      <c r="M163" s="813"/>
      <c r="N163" s="813"/>
    </row>
    <row r="164" spans="1:14" x14ac:dyDescent="0.25">
      <c r="A164" s="813"/>
      <c r="B164" s="813"/>
      <c r="C164" s="813"/>
      <c r="D164" s="813"/>
      <c r="E164" s="813"/>
      <c r="F164" s="813"/>
      <c r="G164" s="813"/>
      <c r="H164" s="813"/>
      <c r="I164" s="813"/>
      <c r="J164" s="813"/>
      <c r="K164" s="813"/>
      <c r="L164" s="813"/>
      <c r="M164" s="813"/>
      <c r="N164" s="813"/>
    </row>
    <row r="165" spans="1:14" x14ac:dyDescent="0.25">
      <c r="A165" s="813"/>
      <c r="B165" s="813"/>
      <c r="C165" s="813"/>
      <c r="D165" s="813"/>
      <c r="E165" s="813"/>
      <c r="F165" s="813"/>
      <c r="G165" s="813"/>
      <c r="H165" s="813"/>
      <c r="I165" s="813"/>
      <c r="J165" s="813"/>
      <c r="K165" s="813"/>
      <c r="L165" s="813"/>
      <c r="M165" s="813"/>
      <c r="N165" s="813"/>
    </row>
    <row r="166" spans="1:14" x14ac:dyDescent="0.25">
      <c r="A166" s="813"/>
      <c r="B166" s="813"/>
      <c r="C166" s="813"/>
      <c r="D166" s="813"/>
      <c r="E166" s="813"/>
      <c r="F166" s="813"/>
      <c r="G166" s="813"/>
      <c r="H166" s="813"/>
      <c r="I166" s="813"/>
      <c r="J166" s="813"/>
      <c r="K166" s="813"/>
      <c r="L166" s="813"/>
      <c r="M166" s="813"/>
      <c r="N166" s="813"/>
    </row>
    <row r="167" spans="1:14" x14ac:dyDescent="0.25">
      <c r="A167" s="813"/>
      <c r="B167" s="813"/>
      <c r="C167" s="813"/>
      <c r="D167" s="813"/>
      <c r="E167" s="813"/>
      <c r="F167" s="813"/>
      <c r="G167" s="813"/>
      <c r="H167" s="813"/>
      <c r="I167" s="813"/>
      <c r="J167" s="813"/>
      <c r="K167" s="813"/>
      <c r="L167" s="813"/>
      <c r="M167" s="813"/>
      <c r="N167" s="813"/>
    </row>
    <row r="168" spans="1:14" x14ac:dyDescent="0.25">
      <c r="A168" s="813"/>
      <c r="B168" s="813"/>
      <c r="C168" s="813"/>
      <c r="D168" s="813"/>
      <c r="E168" s="813"/>
      <c r="F168" s="813"/>
      <c r="G168" s="813"/>
      <c r="H168" s="813"/>
      <c r="I168" s="813"/>
      <c r="J168" s="813"/>
      <c r="K168" s="813"/>
      <c r="L168" s="813"/>
      <c r="M168" s="813"/>
      <c r="N168" s="813"/>
    </row>
    <row r="169" spans="1:14" x14ac:dyDescent="0.25">
      <c r="A169" s="813"/>
      <c r="B169" s="813"/>
      <c r="C169" s="813"/>
      <c r="D169" s="813"/>
      <c r="E169" s="813"/>
      <c r="F169" s="813"/>
      <c r="G169" s="813"/>
      <c r="H169" s="813"/>
      <c r="I169" s="813"/>
      <c r="J169" s="813"/>
      <c r="K169" s="813"/>
      <c r="L169" s="813"/>
      <c r="M169" s="813"/>
      <c r="N169" s="813"/>
    </row>
    <row r="170" spans="1:14" x14ac:dyDescent="0.25">
      <c r="A170" s="813"/>
      <c r="B170" s="813"/>
      <c r="C170" s="813"/>
      <c r="D170" s="813"/>
      <c r="E170" s="813"/>
      <c r="F170" s="813"/>
      <c r="G170" s="813"/>
      <c r="H170" s="813"/>
      <c r="I170" s="813"/>
      <c r="J170" s="813"/>
      <c r="K170" s="813"/>
      <c r="L170" s="813"/>
      <c r="M170" s="813"/>
      <c r="N170" s="813"/>
    </row>
    <row r="171" spans="1:14" x14ac:dyDescent="0.25">
      <c r="A171" s="813"/>
      <c r="B171" s="813"/>
      <c r="C171" s="813"/>
      <c r="D171" s="813"/>
      <c r="E171" s="813"/>
      <c r="F171" s="813"/>
      <c r="G171" s="813"/>
      <c r="H171" s="813"/>
      <c r="I171" s="813"/>
      <c r="J171" s="813"/>
      <c r="K171" s="813"/>
      <c r="L171" s="813"/>
      <c r="M171" s="813"/>
      <c r="N171" s="813"/>
    </row>
    <row r="172" spans="1:14" x14ac:dyDescent="0.25">
      <c r="A172" s="813"/>
      <c r="B172" s="813"/>
      <c r="C172" s="813"/>
      <c r="D172" s="813"/>
      <c r="E172" s="813"/>
      <c r="F172" s="813"/>
      <c r="G172" s="813"/>
      <c r="H172" s="813"/>
      <c r="I172" s="813"/>
      <c r="J172" s="813"/>
      <c r="K172" s="813"/>
      <c r="L172" s="813"/>
      <c r="M172" s="813"/>
      <c r="N172" s="813"/>
    </row>
    <row r="173" spans="1:14" x14ac:dyDescent="0.25">
      <c r="A173" s="813"/>
      <c r="B173" s="813"/>
      <c r="C173" s="813"/>
      <c r="D173" s="813"/>
      <c r="E173" s="813"/>
      <c r="F173" s="813"/>
      <c r="G173" s="813"/>
      <c r="H173" s="813"/>
      <c r="I173" s="813"/>
      <c r="J173" s="813"/>
      <c r="K173" s="813"/>
      <c r="L173" s="813"/>
      <c r="M173" s="813"/>
      <c r="N173" s="813"/>
    </row>
    <row r="174" spans="1:14" x14ac:dyDescent="0.25">
      <c r="A174" s="813"/>
      <c r="B174" s="813"/>
      <c r="C174" s="813"/>
      <c r="D174" s="813"/>
      <c r="E174" s="813"/>
      <c r="F174" s="813"/>
      <c r="G174" s="813"/>
      <c r="H174" s="813"/>
      <c r="I174" s="813"/>
      <c r="J174" s="813"/>
      <c r="K174" s="813"/>
      <c r="L174" s="813"/>
      <c r="M174" s="813"/>
      <c r="N174" s="813"/>
    </row>
    <row r="175" spans="1:14" x14ac:dyDescent="0.25">
      <c r="A175" s="813"/>
      <c r="B175" s="813"/>
      <c r="C175" s="813"/>
      <c r="D175" s="813"/>
      <c r="E175" s="813"/>
      <c r="F175" s="813"/>
      <c r="G175" s="813"/>
      <c r="H175" s="813"/>
      <c r="I175" s="813"/>
      <c r="J175" s="813"/>
      <c r="K175" s="813"/>
      <c r="L175" s="813"/>
      <c r="M175" s="813"/>
      <c r="N175" s="813"/>
    </row>
    <row r="176" spans="1:14" x14ac:dyDescent="0.25">
      <c r="A176" s="813"/>
      <c r="B176" s="813"/>
      <c r="C176" s="813"/>
      <c r="D176" s="813"/>
      <c r="E176" s="813"/>
      <c r="F176" s="813"/>
      <c r="G176" s="813"/>
      <c r="H176" s="813"/>
      <c r="I176" s="813"/>
      <c r="J176" s="813"/>
      <c r="K176" s="813"/>
      <c r="L176" s="813"/>
      <c r="M176" s="813"/>
      <c r="N176" s="813"/>
    </row>
    <row r="177" spans="1:14" x14ac:dyDescent="0.25">
      <c r="A177" s="813"/>
      <c r="B177" s="813"/>
      <c r="C177" s="813"/>
      <c r="D177" s="813"/>
      <c r="E177" s="813"/>
      <c r="F177" s="813"/>
      <c r="G177" s="813"/>
      <c r="H177" s="813"/>
      <c r="I177" s="813"/>
      <c r="J177" s="813"/>
      <c r="K177" s="813"/>
      <c r="L177" s="813"/>
      <c r="M177" s="813"/>
      <c r="N177" s="813"/>
    </row>
    <row r="178" spans="1:14" x14ac:dyDescent="0.25">
      <c r="A178" s="813"/>
      <c r="B178" s="813"/>
      <c r="C178" s="813"/>
      <c r="D178" s="813"/>
      <c r="E178" s="813"/>
      <c r="F178" s="813"/>
      <c r="G178" s="813"/>
      <c r="H178" s="813"/>
      <c r="I178" s="813"/>
      <c r="J178" s="813"/>
      <c r="K178" s="813"/>
      <c r="L178" s="813"/>
      <c r="M178" s="813"/>
      <c r="N178" s="813"/>
    </row>
    <row r="179" spans="1:14" x14ac:dyDescent="0.25">
      <c r="A179" s="813"/>
      <c r="B179" s="813"/>
      <c r="C179" s="813"/>
      <c r="D179" s="813"/>
      <c r="E179" s="813"/>
      <c r="F179" s="813"/>
      <c r="G179" s="813"/>
      <c r="H179" s="813"/>
      <c r="I179" s="813"/>
      <c r="J179" s="813"/>
      <c r="K179" s="813"/>
      <c r="L179" s="813"/>
      <c r="M179" s="813"/>
      <c r="N179" s="813"/>
    </row>
    <row r="180" spans="1:14" x14ac:dyDescent="0.25">
      <c r="A180" s="813"/>
      <c r="B180" s="813"/>
      <c r="C180" s="813"/>
      <c r="D180" s="813"/>
      <c r="E180" s="813"/>
      <c r="F180" s="813"/>
      <c r="G180" s="813"/>
      <c r="H180" s="813"/>
      <c r="I180" s="813"/>
      <c r="J180" s="813"/>
      <c r="K180" s="813"/>
      <c r="L180" s="813"/>
      <c r="M180" s="813"/>
      <c r="N180" s="813"/>
    </row>
    <row r="181" spans="1:14" x14ac:dyDescent="0.25">
      <c r="A181" s="813"/>
      <c r="B181" s="813"/>
      <c r="C181" s="813"/>
      <c r="D181" s="813"/>
      <c r="E181" s="813"/>
      <c r="F181" s="813"/>
      <c r="G181" s="813"/>
      <c r="H181" s="813"/>
      <c r="I181" s="813"/>
      <c r="J181" s="813"/>
      <c r="K181" s="813"/>
      <c r="L181" s="813"/>
      <c r="M181" s="813"/>
      <c r="N181" s="813"/>
    </row>
    <row r="182" spans="1:14" x14ac:dyDescent="0.25">
      <c r="A182" s="813"/>
      <c r="B182" s="813"/>
      <c r="C182" s="813"/>
      <c r="D182" s="813"/>
      <c r="E182" s="813"/>
      <c r="F182" s="813"/>
      <c r="G182" s="813"/>
      <c r="H182" s="813"/>
      <c r="I182" s="813"/>
      <c r="J182" s="813"/>
      <c r="K182" s="813"/>
      <c r="L182" s="813"/>
      <c r="M182" s="813"/>
      <c r="N182" s="813"/>
    </row>
    <row r="183" spans="1:14" x14ac:dyDescent="0.25">
      <c r="A183" s="813"/>
      <c r="B183" s="813"/>
      <c r="C183" s="813"/>
      <c r="D183" s="813"/>
      <c r="E183" s="813"/>
      <c r="F183" s="813"/>
      <c r="G183" s="813"/>
      <c r="H183" s="813"/>
      <c r="I183" s="813"/>
      <c r="J183" s="813"/>
      <c r="K183" s="813"/>
      <c r="L183" s="813"/>
      <c r="M183" s="813"/>
      <c r="N183" s="813"/>
    </row>
    <row r="184" spans="1:14" x14ac:dyDescent="0.25">
      <c r="A184" s="813"/>
      <c r="B184" s="813"/>
      <c r="C184" s="813"/>
      <c r="D184" s="813"/>
      <c r="E184" s="813"/>
      <c r="F184" s="813"/>
      <c r="G184" s="813"/>
      <c r="H184" s="813"/>
      <c r="I184" s="813"/>
      <c r="J184" s="813"/>
      <c r="K184" s="813"/>
      <c r="L184" s="813"/>
      <c r="M184" s="813"/>
      <c r="N184" s="813"/>
    </row>
    <row r="185" spans="1:14" x14ac:dyDescent="0.25">
      <c r="A185" s="813"/>
      <c r="B185" s="813"/>
      <c r="C185" s="813"/>
      <c r="D185" s="813"/>
      <c r="E185" s="813"/>
      <c r="F185" s="813"/>
      <c r="G185" s="813"/>
      <c r="H185" s="813"/>
      <c r="I185" s="813"/>
      <c r="J185" s="813"/>
      <c r="K185" s="813"/>
      <c r="L185" s="813"/>
      <c r="M185" s="813"/>
      <c r="N185" s="813"/>
    </row>
    <row r="186" spans="1:14" x14ac:dyDescent="0.25">
      <c r="A186" s="813"/>
      <c r="B186" s="813"/>
      <c r="C186" s="813"/>
      <c r="D186" s="813"/>
      <c r="E186" s="813"/>
      <c r="F186" s="813"/>
      <c r="G186" s="813"/>
      <c r="H186" s="813"/>
      <c r="I186" s="813"/>
      <c r="J186" s="813"/>
      <c r="K186" s="813"/>
      <c r="L186" s="813"/>
      <c r="M186" s="813"/>
      <c r="N186" s="813"/>
    </row>
    <row r="187" spans="1:14" x14ac:dyDescent="0.25">
      <c r="A187" s="813"/>
      <c r="B187" s="813"/>
      <c r="C187" s="813"/>
      <c r="D187" s="813"/>
      <c r="E187" s="813"/>
      <c r="F187" s="813"/>
      <c r="G187" s="813"/>
      <c r="H187" s="813"/>
      <c r="I187" s="813"/>
      <c r="J187" s="813"/>
      <c r="K187" s="813"/>
      <c r="L187" s="813"/>
      <c r="M187" s="813"/>
      <c r="N187" s="813"/>
    </row>
    <row r="188" spans="1:14" x14ac:dyDescent="0.25">
      <c r="A188" s="813"/>
      <c r="B188" s="813"/>
      <c r="C188" s="813"/>
      <c r="D188" s="813"/>
      <c r="E188" s="813"/>
      <c r="F188" s="813"/>
      <c r="G188" s="813"/>
      <c r="H188" s="813"/>
      <c r="I188" s="813"/>
      <c r="J188" s="813"/>
      <c r="K188" s="813"/>
      <c r="L188" s="813"/>
      <c r="M188" s="813"/>
      <c r="N188" s="813"/>
    </row>
    <row r="189" spans="1:14" x14ac:dyDescent="0.25">
      <c r="A189" s="813"/>
      <c r="B189" s="813"/>
      <c r="C189" s="813"/>
      <c r="D189" s="813"/>
      <c r="E189" s="813"/>
      <c r="F189" s="813"/>
      <c r="G189" s="813"/>
      <c r="H189" s="813"/>
      <c r="I189" s="813"/>
      <c r="J189" s="813"/>
      <c r="K189" s="813"/>
      <c r="L189" s="813"/>
      <c r="M189" s="813"/>
      <c r="N189" s="813"/>
    </row>
    <row r="190" spans="1:14" x14ac:dyDescent="0.25">
      <c r="A190" s="813"/>
      <c r="B190" s="813"/>
      <c r="C190" s="813"/>
      <c r="D190" s="813"/>
      <c r="E190" s="813"/>
      <c r="F190" s="813"/>
      <c r="G190" s="813"/>
      <c r="H190" s="813"/>
      <c r="I190" s="813"/>
      <c r="J190" s="813"/>
      <c r="K190" s="813"/>
      <c r="L190" s="813"/>
      <c r="M190" s="813"/>
      <c r="N190" s="813"/>
    </row>
    <row r="191" spans="1:14" x14ac:dyDescent="0.25">
      <c r="A191" s="813"/>
      <c r="B191" s="813"/>
      <c r="C191" s="813"/>
      <c r="D191" s="813"/>
      <c r="E191" s="813"/>
      <c r="F191" s="813"/>
      <c r="G191" s="813"/>
      <c r="H191" s="813"/>
      <c r="I191" s="813"/>
      <c r="J191" s="813"/>
      <c r="K191" s="813"/>
      <c r="L191" s="813"/>
      <c r="M191" s="813"/>
      <c r="N191" s="813"/>
    </row>
    <row r="192" spans="1:14" x14ac:dyDescent="0.25">
      <c r="A192" s="813"/>
      <c r="B192" s="813"/>
      <c r="C192" s="813"/>
      <c r="D192" s="813"/>
      <c r="E192" s="813"/>
      <c r="F192" s="813"/>
      <c r="G192" s="813"/>
      <c r="H192" s="813"/>
      <c r="I192" s="813"/>
      <c r="J192" s="813"/>
      <c r="K192" s="813"/>
      <c r="L192" s="813"/>
      <c r="M192" s="813"/>
      <c r="N192" s="813"/>
    </row>
    <row r="193" spans="1:14" x14ac:dyDescent="0.25">
      <c r="A193" s="813"/>
      <c r="B193" s="813"/>
      <c r="C193" s="813"/>
      <c r="D193" s="813"/>
      <c r="E193" s="813"/>
      <c r="F193" s="813"/>
      <c r="G193" s="813"/>
      <c r="H193" s="813"/>
      <c r="I193" s="813"/>
      <c r="J193" s="813"/>
      <c r="K193" s="813"/>
      <c r="L193" s="813"/>
      <c r="M193" s="813"/>
      <c r="N193" s="813"/>
    </row>
    <row r="194" spans="1:14" x14ac:dyDescent="0.25">
      <c r="A194" s="813"/>
      <c r="B194" s="813"/>
      <c r="C194" s="813"/>
      <c r="D194" s="813"/>
      <c r="E194" s="813"/>
      <c r="F194" s="813"/>
      <c r="G194" s="813"/>
      <c r="H194" s="813"/>
      <c r="I194" s="813"/>
      <c r="J194" s="813"/>
      <c r="K194" s="813"/>
      <c r="L194" s="813"/>
      <c r="M194" s="813"/>
      <c r="N194" s="813"/>
    </row>
    <row r="195" spans="1:14" x14ac:dyDescent="0.25">
      <c r="A195" s="813"/>
      <c r="B195" s="813"/>
      <c r="C195" s="813"/>
      <c r="D195" s="813"/>
      <c r="E195" s="813"/>
      <c r="F195" s="813"/>
      <c r="G195" s="813"/>
      <c r="H195" s="813"/>
      <c r="I195" s="813"/>
      <c r="J195" s="813"/>
      <c r="K195" s="813"/>
      <c r="L195" s="813"/>
      <c r="M195" s="813"/>
      <c r="N195" s="813"/>
    </row>
    <row r="196" spans="1:14" x14ac:dyDescent="0.25">
      <c r="A196" s="813"/>
      <c r="B196" s="813"/>
      <c r="C196" s="813"/>
      <c r="D196" s="813"/>
      <c r="E196" s="813"/>
      <c r="F196" s="813"/>
      <c r="G196" s="813"/>
      <c r="H196" s="813"/>
      <c r="I196" s="813"/>
      <c r="J196" s="813"/>
      <c r="K196" s="813"/>
      <c r="L196" s="813"/>
      <c r="M196" s="813"/>
      <c r="N196" s="813"/>
    </row>
    <row r="197" spans="1:14" x14ac:dyDescent="0.25">
      <c r="A197" s="813"/>
      <c r="B197" s="813"/>
      <c r="C197" s="813"/>
      <c r="D197" s="813"/>
      <c r="E197" s="813"/>
      <c r="F197" s="813"/>
      <c r="G197" s="813"/>
      <c r="H197" s="813"/>
      <c r="I197" s="813"/>
      <c r="J197" s="813"/>
      <c r="K197" s="813"/>
      <c r="L197" s="813"/>
      <c r="M197" s="813"/>
      <c r="N197" s="813"/>
    </row>
    <row r="198" spans="1:14" x14ac:dyDescent="0.25">
      <c r="A198" s="813"/>
      <c r="B198" s="813"/>
      <c r="C198" s="813"/>
      <c r="D198" s="813"/>
      <c r="E198" s="813"/>
      <c r="F198" s="813"/>
      <c r="G198" s="813"/>
      <c r="H198" s="813"/>
      <c r="I198" s="813"/>
      <c r="J198" s="813"/>
      <c r="K198" s="813"/>
      <c r="L198" s="813"/>
      <c r="M198" s="813"/>
      <c r="N198" s="813"/>
    </row>
    <row r="199" spans="1:14" x14ac:dyDescent="0.25">
      <c r="A199" s="813"/>
      <c r="B199" s="813"/>
      <c r="C199" s="813"/>
      <c r="D199" s="813"/>
      <c r="E199" s="813"/>
      <c r="F199" s="813"/>
      <c r="G199" s="813"/>
      <c r="H199" s="813"/>
      <c r="I199" s="813"/>
      <c r="J199" s="813"/>
      <c r="K199" s="813"/>
      <c r="L199" s="813"/>
      <c r="M199" s="813"/>
      <c r="N199" s="813"/>
    </row>
    <row r="200" spans="1:14" x14ac:dyDescent="0.25">
      <c r="A200" s="813"/>
      <c r="B200" s="813"/>
      <c r="C200" s="813"/>
      <c r="D200" s="813"/>
      <c r="E200" s="813"/>
      <c r="F200" s="813"/>
      <c r="G200" s="813"/>
      <c r="H200" s="813"/>
      <c r="I200" s="813"/>
      <c r="J200" s="813"/>
      <c r="K200" s="813"/>
      <c r="L200" s="813"/>
      <c r="M200" s="813"/>
      <c r="N200" s="813"/>
    </row>
    <row r="201" spans="1:14" x14ac:dyDescent="0.25">
      <c r="A201" s="813"/>
      <c r="B201" s="813"/>
      <c r="C201" s="813"/>
      <c r="D201" s="813"/>
      <c r="E201" s="813"/>
      <c r="F201" s="813"/>
      <c r="G201" s="813"/>
      <c r="H201" s="813"/>
      <c r="I201" s="813"/>
      <c r="J201" s="813"/>
      <c r="K201" s="813"/>
      <c r="L201" s="813"/>
      <c r="M201" s="813"/>
      <c r="N201" s="813"/>
    </row>
    <row r="202" spans="1:14" x14ac:dyDescent="0.25">
      <c r="A202" s="813"/>
      <c r="B202" s="813"/>
      <c r="C202" s="813"/>
      <c r="D202" s="813"/>
      <c r="E202" s="813"/>
      <c r="F202" s="813"/>
      <c r="G202" s="813"/>
      <c r="H202" s="813"/>
      <c r="I202" s="813"/>
      <c r="J202" s="813"/>
      <c r="K202" s="813"/>
      <c r="L202" s="813"/>
      <c r="M202" s="813"/>
      <c r="N202" s="813"/>
    </row>
    <row r="203" spans="1:14" x14ac:dyDescent="0.25">
      <c r="A203" s="813"/>
      <c r="B203" s="813"/>
      <c r="C203" s="813"/>
      <c r="D203" s="813"/>
      <c r="E203" s="813"/>
      <c r="F203" s="813"/>
      <c r="G203" s="813"/>
      <c r="H203" s="813"/>
      <c r="I203" s="813"/>
      <c r="J203" s="813"/>
      <c r="K203" s="813"/>
      <c r="L203" s="813"/>
      <c r="M203" s="813"/>
      <c r="N203" s="813"/>
    </row>
    <row r="204" spans="1:14" x14ac:dyDescent="0.25">
      <c r="A204" s="813"/>
      <c r="B204" s="813"/>
      <c r="C204" s="813"/>
      <c r="D204" s="813"/>
      <c r="E204" s="813"/>
      <c r="F204" s="813"/>
      <c r="G204" s="813"/>
      <c r="H204" s="813"/>
      <c r="I204" s="813"/>
      <c r="J204" s="813"/>
      <c r="K204" s="813"/>
      <c r="L204" s="813"/>
      <c r="M204" s="813"/>
      <c r="N204" s="813"/>
    </row>
    <row r="205" spans="1:14" x14ac:dyDescent="0.25">
      <c r="A205" s="813"/>
      <c r="B205" s="813"/>
      <c r="C205" s="813"/>
      <c r="D205" s="813"/>
      <c r="E205" s="813"/>
      <c r="F205" s="813"/>
      <c r="G205" s="813"/>
      <c r="H205" s="813"/>
      <c r="I205" s="813"/>
      <c r="J205" s="813"/>
      <c r="K205" s="813"/>
      <c r="L205" s="813"/>
      <c r="M205" s="813"/>
      <c r="N205" s="813"/>
    </row>
    <row r="206" spans="1:14" x14ac:dyDescent="0.25">
      <c r="A206" s="813"/>
      <c r="B206" s="813"/>
      <c r="C206" s="813"/>
      <c r="D206" s="813"/>
      <c r="E206" s="813"/>
      <c r="F206" s="813"/>
      <c r="G206" s="813"/>
      <c r="H206" s="813"/>
      <c r="I206" s="813"/>
      <c r="J206" s="813"/>
      <c r="K206" s="813"/>
      <c r="L206" s="813"/>
      <c r="M206" s="813"/>
      <c r="N206" s="813"/>
    </row>
    <row r="207" spans="1:14" x14ac:dyDescent="0.25">
      <c r="A207" s="813"/>
      <c r="B207" s="813"/>
      <c r="C207" s="813"/>
      <c r="D207" s="813"/>
      <c r="E207" s="813"/>
      <c r="F207" s="813"/>
      <c r="G207" s="813"/>
      <c r="H207" s="813"/>
      <c r="I207" s="813"/>
      <c r="J207" s="813"/>
      <c r="K207" s="813"/>
      <c r="L207" s="813"/>
      <c r="M207" s="813"/>
      <c r="N207" s="813"/>
    </row>
    <row r="208" spans="1:14" x14ac:dyDescent="0.25">
      <c r="A208" s="813"/>
      <c r="B208" s="813"/>
      <c r="C208" s="813"/>
      <c r="D208" s="813"/>
      <c r="E208" s="813"/>
      <c r="F208" s="813"/>
      <c r="G208" s="813"/>
      <c r="H208" s="813"/>
      <c r="I208" s="813"/>
      <c r="J208" s="813"/>
      <c r="K208" s="813"/>
      <c r="L208" s="813"/>
      <c r="M208" s="813"/>
      <c r="N208" s="813"/>
    </row>
    <row r="209" spans="1:14" x14ac:dyDescent="0.25">
      <c r="A209" s="813"/>
      <c r="B209" s="813"/>
      <c r="C209" s="813"/>
      <c r="D209" s="813"/>
      <c r="E209" s="813"/>
      <c r="F209" s="813"/>
      <c r="G209" s="813"/>
      <c r="H209" s="813"/>
      <c r="I209" s="813"/>
      <c r="J209" s="814"/>
      <c r="K209" s="814"/>
      <c r="L209" s="814"/>
      <c r="M209" s="814"/>
      <c r="N209" s="814"/>
    </row>
    <row r="210" spans="1:14" x14ac:dyDescent="0.25">
      <c r="A210" s="813"/>
      <c r="B210" s="813"/>
      <c r="C210" s="813"/>
      <c r="D210" s="813"/>
      <c r="E210" s="813"/>
      <c r="F210" s="813"/>
      <c r="G210" s="813"/>
      <c r="H210" s="813"/>
      <c r="I210" s="813"/>
    </row>
    <row r="211" spans="1:14" x14ac:dyDescent="0.25">
      <c r="A211" s="813"/>
      <c r="B211" s="813"/>
      <c r="C211" s="813"/>
      <c r="D211" s="813"/>
      <c r="E211" s="813"/>
      <c r="F211" s="813"/>
      <c r="G211" s="813"/>
      <c r="H211" s="813"/>
      <c r="I211" s="813"/>
    </row>
    <row r="212" spans="1:14" x14ac:dyDescent="0.25">
      <c r="A212" s="813"/>
      <c r="B212" s="813"/>
      <c r="C212" s="813"/>
      <c r="D212" s="813"/>
      <c r="E212" s="813"/>
      <c r="F212" s="813"/>
      <c r="G212" s="813"/>
      <c r="H212" s="813"/>
      <c r="I212" s="813"/>
    </row>
    <row r="213" spans="1:14" x14ac:dyDescent="0.25">
      <c r="A213" s="813"/>
      <c r="B213" s="813"/>
      <c r="C213" s="813"/>
      <c r="D213" s="813"/>
      <c r="E213" s="813"/>
      <c r="F213" s="813"/>
      <c r="G213" s="813"/>
      <c r="H213" s="813"/>
      <c r="I213" s="813"/>
    </row>
    <row r="214" spans="1:14" x14ac:dyDescent="0.25">
      <c r="A214" s="813"/>
      <c r="B214" s="813"/>
      <c r="C214" s="813"/>
      <c r="D214" s="813"/>
      <c r="E214" s="813"/>
      <c r="F214" s="813"/>
      <c r="G214" s="813"/>
      <c r="H214" s="813"/>
      <c r="I214" s="813"/>
    </row>
    <row r="215" spans="1:14" x14ac:dyDescent="0.25">
      <c r="A215" s="813"/>
      <c r="B215" s="813"/>
      <c r="C215" s="813"/>
      <c r="D215" s="813"/>
      <c r="E215" s="813"/>
      <c r="F215" s="813"/>
      <c r="G215" s="813"/>
      <c r="H215" s="813"/>
      <c r="I215" s="813"/>
    </row>
    <row r="216" spans="1:14" x14ac:dyDescent="0.25">
      <c r="A216" s="813"/>
      <c r="B216" s="813"/>
      <c r="C216" s="813"/>
      <c r="D216" s="813"/>
      <c r="E216" s="813"/>
      <c r="F216" s="813"/>
      <c r="G216" s="813"/>
      <c r="H216" s="813"/>
      <c r="I216" s="813"/>
    </row>
    <row r="217" spans="1:14" x14ac:dyDescent="0.25">
      <c r="A217" s="813"/>
      <c r="B217" s="813"/>
      <c r="C217" s="813"/>
      <c r="D217" s="813"/>
      <c r="E217" s="813"/>
      <c r="F217" s="813"/>
      <c r="G217" s="813"/>
      <c r="H217" s="813"/>
      <c r="I217" s="813"/>
    </row>
    <row r="218" spans="1:14" x14ac:dyDescent="0.25">
      <c r="A218" s="813"/>
      <c r="B218" s="813"/>
      <c r="C218" s="813"/>
      <c r="D218" s="813"/>
      <c r="E218" s="813"/>
      <c r="F218" s="813"/>
      <c r="G218" s="813"/>
      <c r="H218" s="813"/>
      <c r="I218" s="813"/>
    </row>
    <row r="219" spans="1:14" x14ac:dyDescent="0.25">
      <c r="A219" s="813"/>
      <c r="B219" s="813"/>
      <c r="C219" s="813"/>
      <c r="D219" s="813"/>
      <c r="E219" s="813"/>
      <c r="F219" s="813"/>
      <c r="G219" s="813"/>
      <c r="H219" s="813"/>
      <c r="I219" s="813"/>
    </row>
    <row r="220" spans="1:14" x14ac:dyDescent="0.25">
      <c r="A220" s="813"/>
      <c r="B220" s="813"/>
      <c r="C220" s="813"/>
      <c r="D220" s="813"/>
      <c r="E220" s="813"/>
      <c r="F220" s="813"/>
      <c r="G220" s="813"/>
      <c r="H220" s="813"/>
      <c r="I220" s="813"/>
    </row>
    <row r="221" spans="1:14" x14ac:dyDescent="0.25">
      <c r="A221" s="813"/>
      <c r="B221" s="813"/>
      <c r="C221" s="813"/>
      <c r="D221" s="813"/>
      <c r="E221" s="813"/>
      <c r="F221" s="813"/>
      <c r="G221" s="813"/>
      <c r="H221" s="813"/>
      <c r="I221" s="813"/>
    </row>
    <row r="222" spans="1:14" x14ac:dyDescent="0.25">
      <c r="A222" s="813"/>
      <c r="B222" s="813"/>
      <c r="C222" s="813"/>
      <c r="D222" s="813"/>
      <c r="E222" s="813"/>
      <c r="F222" s="813"/>
      <c r="G222" s="813"/>
      <c r="H222" s="813"/>
      <c r="I222" s="813"/>
    </row>
    <row r="223" spans="1:14" x14ac:dyDescent="0.25">
      <c r="A223" s="813"/>
      <c r="B223" s="813"/>
      <c r="C223" s="813"/>
      <c r="D223" s="813"/>
      <c r="E223" s="813"/>
      <c r="F223" s="813"/>
      <c r="G223" s="813"/>
      <c r="H223" s="813"/>
      <c r="I223" s="813"/>
    </row>
    <row r="224" spans="1:14" x14ac:dyDescent="0.25">
      <c r="A224" s="813"/>
      <c r="B224" s="813"/>
      <c r="C224" s="813"/>
      <c r="D224" s="813"/>
      <c r="E224" s="813"/>
      <c r="F224" s="813"/>
      <c r="G224" s="813"/>
      <c r="H224" s="813"/>
      <c r="I224" s="813"/>
    </row>
    <row r="225" spans="1:9" x14ac:dyDescent="0.25">
      <c r="A225" s="813"/>
      <c r="B225" s="813"/>
      <c r="C225" s="813"/>
      <c r="D225" s="813"/>
      <c r="E225" s="813"/>
      <c r="F225" s="813"/>
      <c r="G225" s="813"/>
      <c r="H225" s="813"/>
      <c r="I225" s="813"/>
    </row>
    <row r="226" spans="1:9" x14ac:dyDescent="0.25">
      <c r="A226" s="813"/>
      <c r="B226" s="813"/>
      <c r="C226" s="813"/>
      <c r="D226" s="813"/>
      <c r="E226" s="813"/>
      <c r="F226" s="813"/>
      <c r="G226" s="813"/>
      <c r="H226" s="813"/>
      <c r="I226" s="813"/>
    </row>
    <row r="227" spans="1:9" x14ac:dyDescent="0.25">
      <c r="A227" s="813"/>
      <c r="B227" s="813"/>
      <c r="C227" s="813"/>
      <c r="D227" s="813"/>
      <c r="E227" s="813"/>
      <c r="F227" s="813"/>
      <c r="G227" s="813"/>
      <c r="H227" s="813"/>
      <c r="I227" s="813"/>
    </row>
    <row r="228" spans="1:9" x14ac:dyDescent="0.25">
      <c r="A228" s="813"/>
      <c r="B228" s="813"/>
      <c r="C228" s="813"/>
      <c r="D228" s="813"/>
      <c r="E228" s="813"/>
      <c r="F228" s="813"/>
      <c r="G228" s="813"/>
      <c r="H228" s="813"/>
      <c r="I228" s="813"/>
    </row>
    <row r="229" spans="1:9" x14ac:dyDescent="0.25">
      <c r="A229" s="813"/>
      <c r="B229" s="813"/>
      <c r="C229" s="813"/>
      <c r="D229" s="813"/>
      <c r="E229" s="813"/>
      <c r="F229" s="813"/>
      <c r="G229" s="813"/>
      <c r="H229" s="813"/>
      <c r="I229" s="813"/>
    </row>
    <row r="230" spans="1:9" x14ac:dyDescent="0.25">
      <c r="A230" s="813"/>
      <c r="B230" s="813"/>
      <c r="C230" s="813"/>
      <c r="D230" s="813"/>
      <c r="E230" s="813"/>
      <c r="F230" s="813"/>
      <c r="G230" s="813"/>
      <c r="H230" s="813"/>
      <c r="I230" s="813"/>
    </row>
    <row r="231" spans="1:9" x14ac:dyDescent="0.25">
      <c r="A231" s="813"/>
      <c r="B231" s="813"/>
      <c r="C231" s="813"/>
      <c r="D231" s="813"/>
      <c r="E231" s="813"/>
      <c r="F231" s="813"/>
      <c r="G231" s="813"/>
      <c r="H231" s="813"/>
      <c r="I231" s="813"/>
    </row>
    <row r="232" spans="1:9" x14ac:dyDescent="0.25">
      <c r="A232" s="813"/>
      <c r="B232" s="813"/>
      <c r="C232" s="813"/>
      <c r="D232" s="813"/>
      <c r="E232" s="813"/>
      <c r="F232" s="813"/>
      <c r="G232" s="813"/>
      <c r="H232" s="813"/>
      <c r="I232" s="813"/>
    </row>
    <row r="233" spans="1:9" x14ac:dyDescent="0.25">
      <c r="A233" s="813"/>
      <c r="B233" s="813"/>
      <c r="C233" s="813"/>
      <c r="D233" s="813"/>
      <c r="E233" s="813"/>
      <c r="F233" s="813"/>
      <c r="G233" s="813"/>
      <c r="H233" s="813"/>
      <c r="I233" s="813"/>
    </row>
    <row r="234" spans="1:9" x14ac:dyDescent="0.25">
      <c r="A234" s="813"/>
      <c r="B234" s="813"/>
      <c r="C234" s="813"/>
      <c r="D234" s="813"/>
      <c r="E234" s="813"/>
      <c r="F234" s="813"/>
      <c r="G234" s="813"/>
      <c r="H234" s="813"/>
      <c r="I234" s="813"/>
    </row>
    <row r="235" spans="1:9" x14ac:dyDescent="0.25">
      <c r="A235" s="813"/>
      <c r="B235" s="813"/>
      <c r="C235" s="813"/>
      <c r="D235" s="813"/>
      <c r="E235" s="813"/>
      <c r="F235" s="813"/>
      <c r="G235" s="813"/>
      <c r="H235" s="813"/>
      <c r="I235" s="813"/>
    </row>
    <row r="236" spans="1:9" x14ac:dyDescent="0.25">
      <c r="A236" s="813"/>
      <c r="B236" s="813"/>
      <c r="C236" s="813"/>
      <c r="D236" s="813"/>
      <c r="E236" s="813"/>
      <c r="F236" s="813"/>
      <c r="G236" s="813"/>
      <c r="H236" s="813"/>
      <c r="I236" s="813"/>
    </row>
    <row r="237" spans="1:9" x14ac:dyDescent="0.25">
      <c r="A237" s="813"/>
      <c r="B237" s="813"/>
      <c r="C237" s="813"/>
      <c r="D237" s="813"/>
      <c r="E237" s="813"/>
      <c r="F237" s="813"/>
      <c r="G237" s="813"/>
      <c r="H237" s="813"/>
      <c r="I237" s="813"/>
    </row>
    <row r="238" spans="1:9" x14ac:dyDescent="0.25">
      <c r="A238" s="813"/>
      <c r="B238" s="813"/>
      <c r="C238" s="813"/>
      <c r="D238" s="813"/>
      <c r="E238" s="813"/>
      <c r="F238" s="813"/>
      <c r="G238" s="813"/>
      <c r="H238" s="813"/>
      <c r="I238" s="813"/>
    </row>
    <row r="239" spans="1:9" x14ac:dyDescent="0.25">
      <c r="A239" s="813"/>
      <c r="B239" s="813"/>
      <c r="C239" s="813"/>
      <c r="D239" s="813"/>
      <c r="E239" s="813"/>
      <c r="F239" s="813"/>
      <c r="G239" s="813"/>
      <c r="H239" s="813"/>
      <c r="I239" s="813"/>
    </row>
    <row r="240" spans="1:9" x14ac:dyDescent="0.25">
      <c r="A240" s="813"/>
      <c r="B240" s="813"/>
      <c r="C240" s="813"/>
      <c r="D240" s="813"/>
      <c r="E240" s="813"/>
      <c r="F240" s="813"/>
      <c r="G240" s="813"/>
      <c r="H240" s="813"/>
      <c r="I240" s="813"/>
    </row>
    <row r="241" spans="1:9" x14ac:dyDescent="0.25">
      <c r="A241" s="813"/>
      <c r="B241" s="813"/>
      <c r="C241" s="813"/>
      <c r="D241" s="813"/>
      <c r="E241" s="813"/>
      <c r="F241" s="813"/>
      <c r="G241" s="813"/>
      <c r="H241" s="813"/>
      <c r="I241" s="813"/>
    </row>
    <row r="242" spans="1:9" x14ac:dyDescent="0.25">
      <c r="A242" s="813"/>
      <c r="B242" s="813"/>
      <c r="C242" s="813"/>
      <c r="D242" s="813"/>
      <c r="E242" s="813"/>
      <c r="F242" s="813"/>
      <c r="G242" s="813"/>
      <c r="H242" s="813"/>
      <c r="I242" s="813"/>
    </row>
    <row r="243" spans="1:9" x14ac:dyDescent="0.25">
      <c r="A243" s="813"/>
      <c r="B243" s="813"/>
      <c r="C243" s="813"/>
      <c r="D243" s="813"/>
      <c r="E243" s="813"/>
      <c r="F243" s="813"/>
      <c r="G243" s="813"/>
      <c r="H243" s="813"/>
      <c r="I243" s="813"/>
    </row>
    <row r="244" spans="1:9" x14ac:dyDescent="0.25">
      <c r="A244" s="813"/>
      <c r="B244" s="813"/>
      <c r="C244" s="813"/>
      <c r="D244" s="813"/>
      <c r="E244" s="813"/>
      <c r="F244" s="813"/>
      <c r="G244" s="813"/>
      <c r="H244" s="813"/>
      <c r="I244" s="813"/>
    </row>
    <row r="245" spans="1:9" x14ac:dyDescent="0.25">
      <c r="A245" s="813"/>
      <c r="B245" s="813"/>
      <c r="C245" s="813"/>
      <c r="D245" s="813"/>
      <c r="E245" s="813"/>
      <c r="F245" s="813"/>
      <c r="G245" s="813"/>
      <c r="H245" s="813"/>
      <c r="I245" s="813"/>
    </row>
    <row r="246" spans="1:9" x14ac:dyDescent="0.25">
      <c r="A246" s="813"/>
      <c r="B246" s="813"/>
      <c r="C246" s="813"/>
      <c r="D246" s="813"/>
      <c r="E246" s="813"/>
      <c r="F246" s="813"/>
      <c r="G246" s="813"/>
      <c r="H246" s="813"/>
      <c r="I246" s="813"/>
    </row>
    <row r="247" spans="1:9" x14ac:dyDescent="0.25">
      <c r="A247" s="813"/>
      <c r="B247" s="813"/>
      <c r="C247" s="813"/>
      <c r="D247" s="813"/>
      <c r="E247" s="813"/>
      <c r="F247" s="813"/>
      <c r="G247" s="813"/>
      <c r="H247" s="813"/>
      <c r="I247" s="813"/>
    </row>
    <row r="248" spans="1:9" x14ac:dyDescent="0.25">
      <c r="A248" s="813"/>
      <c r="B248" s="813"/>
      <c r="C248" s="813"/>
      <c r="D248" s="813"/>
      <c r="E248" s="813"/>
      <c r="F248" s="813"/>
      <c r="G248" s="813"/>
      <c r="H248" s="813"/>
      <c r="I248" s="813"/>
    </row>
    <row r="249" spans="1:9" x14ac:dyDescent="0.25">
      <c r="A249" s="813"/>
      <c r="B249" s="813"/>
      <c r="C249" s="813"/>
      <c r="D249" s="813"/>
      <c r="E249" s="813"/>
      <c r="F249" s="813"/>
      <c r="G249" s="813"/>
      <c r="H249" s="813"/>
      <c r="I249" s="813"/>
    </row>
    <row r="250" spans="1:9" x14ac:dyDescent="0.25">
      <c r="A250" s="813"/>
      <c r="B250" s="813"/>
      <c r="C250" s="813"/>
      <c r="D250" s="813"/>
      <c r="E250" s="813"/>
      <c r="F250" s="813"/>
      <c r="G250" s="813"/>
      <c r="H250" s="813"/>
      <c r="I250" s="813"/>
    </row>
    <row r="251" spans="1:9" x14ac:dyDescent="0.25">
      <c r="A251" s="813"/>
      <c r="B251" s="813"/>
      <c r="C251" s="813"/>
      <c r="D251" s="813"/>
      <c r="E251" s="813"/>
      <c r="F251" s="813"/>
      <c r="G251" s="813"/>
      <c r="H251" s="813"/>
      <c r="I251" s="813"/>
    </row>
    <row r="252" spans="1:9" x14ac:dyDescent="0.25">
      <c r="A252" s="813"/>
      <c r="B252" s="813"/>
      <c r="C252" s="813"/>
      <c r="D252" s="813"/>
      <c r="E252" s="813"/>
      <c r="F252" s="813"/>
      <c r="G252" s="813"/>
      <c r="H252" s="813"/>
      <c r="I252" s="813"/>
    </row>
    <row r="253" spans="1:9" x14ac:dyDescent="0.25">
      <c r="A253" s="813"/>
      <c r="B253" s="813"/>
      <c r="C253" s="813"/>
      <c r="D253" s="813"/>
      <c r="E253" s="813"/>
      <c r="F253" s="813"/>
      <c r="G253" s="813"/>
      <c r="H253" s="813"/>
      <c r="I253" s="813"/>
    </row>
    <row r="254" spans="1:9" x14ac:dyDescent="0.25">
      <c r="A254" s="813"/>
      <c r="B254" s="813"/>
      <c r="C254" s="813"/>
      <c r="D254" s="813"/>
      <c r="E254" s="813"/>
      <c r="F254" s="813"/>
      <c r="G254" s="813"/>
      <c r="H254" s="813"/>
      <c r="I254" s="813"/>
    </row>
    <row r="255" spans="1:9" x14ac:dyDescent="0.25">
      <c r="A255" s="813"/>
      <c r="B255" s="813"/>
      <c r="C255" s="813"/>
      <c r="D255" s="813"/>
      <c r="E255" s="813"/>
      <c r="F255" s="813"/>
      <c r="G255" s="813"/>
      <c r="H255" s="813"/>
      <c r="I255" s="813"/>
    </row>
    <row r="256" spans="1:9" x14ac:dyDescent="0.25">
      <c r="A256" s="813"/>
      <c r="B256" s="813"/>
      <c r="C256" s="813"/>
      <c r="D256" s="813"/>
      <c r="E256" s="813"/>
      <c r="F256" s="813"/>
      <c r="G256" s="813"/>
      <c r="H256" s="813"/>
      <c r="I256" s="813"/>
    </row>
    <row r="257" spans="1:9" x14ac:dyDescent="0.25">
      <c r="A257" s="813"/>
      <c r="B257" s="813"/>
      <c r="C257" s="813"/>
      <c r="D257" s="813"/>
      <c r="E257" s="813"/>
      <c r="F257" s="813"/>
      <c r="G257" s="813"/>
      <c r="H257" s="813"/>
      <c r="I257" s="813"/>
    </row>
    <row r="258" spans="1:9" x14ac:dyDescent="0.25">
      <c r="A258" s="813"/>
      <c r="B258" s="813"/>
      <c r="C258" s="813"/>
      <c r="D258" s="813"/>
      <c r="E258" s="813"/>
      <c r="F258" s="813"/>
      <c r="G258" s="813"/>
      <c r="H258" s="813"/>
      <c r="I258" s="813"/>
    </row>
    <row r="259" spans="1:9" x14ac:dyDescent="0.25">
      <c r="A259" s="813"/>
      <c r="B259" s="813"/>
      <c r="C259" s="813"/>
      <c r="D259" s="813"/>
      <c r="E259" s="813"/>
      <c r="F259" s="813"/>
      <c r="G259" s="813"/>
      <c r="H259" s="813"/>
      <c r="I259" s="813"/>
    </row>
    <row r="260" spans="1:9" x14ac:dyDescent="0.25">
      <c r="A260" s="813"/>
      <c r="B260" s="813"/>
      <c r="C260" s="813"/>
      <c r="D260" s="813"/>
      <c r="E260" s="813"/>
      <c r="F260" s="813"/>
      <c r="G260" s="813"/>
      <c r="H260" s="813"/>
      <c r="I260" s="813"/>
    </row>
    <row r="261" spans="1:9" x14ac:dyDescent="0.25">
      <c r="A261" s="813"/>
      <c r="B261" s="813"/>
      <c r="C261" s="813"/>
      <c r="D261" s="813"/>
      <c r="E261" s="813"/>
      <c r="F261" s="813"/>
      <c r="G261" s="813"/>
      <c r="H261" s="813"/>
      <c r="I261" s="813"/>
    </row>
    <row r="262" spans="1:9" x14ac:dyDescent="0.25">
      <c r="A262" s="813"/>
      <c r="B262" s="813"/>
      <c r="C262" s="813"/>
      <c r="D262" s="813"/>
      <c r="E262" s="813"/>
      <c r="F262" s="813"/>
      <c r="G262" s="813"/>
      <c r="H262" s="813"/>
      <c r="I262" s="813"/>
    </row>
    <row r="263" spans="1:9" x14ac:dyDescent="0.25">
      <c r="A263" s="813"/>
      <c r="B263" s="813"/>
      <c r="C263" s="813"/>
      <c r="D263" s="813"/>
      <c r="E263" s="813"/>
      <c r="F263" s="813"/>
      <c r="G263" s="813"/>
      <c r="H263" s="813"/>
      <c r="I263" s="813"/>
    </row>
    <row r="264" spans="1:9" x14ac:dyDescent="0.25">
      <c r="A264" s="813"/>
      <c r="B264" s="813"/>
      <c r="C264" s="813"/>
      <c r="D264" s="813"/>
      <c r="E264" s="813"/>
      <c r="F264" s="813"/>
      <c r="G264" s="813"/>
      <c r="H264" s="813"/>
      <c r="I264" s="813"/>
    </row>
    <row r="265" spans="1:9" x14ac:dyDescent="0.25">
      <c r="A265" s="813"/>
      <c r="B265" s="813"/>
      <c r="C265" s="813"/>
      <c r="D265" s="813"/>
      <c r="E265" s="813"/>
      <c r="F265" s="813"/>
      <c r="G265" s="813"/>
      <c r="H265" s="813"/>
      <c r="I265" s="813"/>
    </row>
    <row r="266" spans="1:9" x14ac:dyDescent="0.25">
      <c r="A266" s="813"/>
      <c r="B266" s="813"/>
      <c r="C266" s="813"/>
      <c r="D266" s="813"/>
      <c r="E266" s="813"/>
      <c r="F266" s="813"/>
      <c r="G266" s="813"/>
      <c r="H266" s="813"/>
      <c r="I266" s="813"/>
    </row>
    <row r="267" spans="1:9" x14ac:dyDescent="0.25">
      <c r="A267" s="813"/>
      <c r="B267" s="813"/>
      <c r="C267" s="813"/>
      <c r="D267" s="813"/>
      <c r="E267" s="813"/>
      <c r="F267" s="813"/>
      <c r="G267" s="813"/>
      <c r="H267" s="813"/>
      <c r="I267" s="813"/>
    </row>
    <row r="268" spans="1:9" x14ac:dyDescent="0.25">
      <c r="A268" s="813"/>
      <c r="B268" s="813"/>
      <c r="C268" s="813"/>
      <c r="D268" s="813"/>
      <c r="E268" s="813"/>
      <c r="F268" s="813"/>
      <c r="G268" s="813"/>
      <c r="H268" s="813"/>
      <c r="I268" s="813"/>
    </row>
    <row r="269" spans="1:9" x14ac:dyDescent="0.25">
      <c r="A269" s="813"/>
      <c r="B269" s="813"/>
      <c r="C269" s="813"/>
      <c r="D269" s="813"/>
      <c r="E269" s="813"/>
      <c r="F269" s="813"/>
      <c r="G269" s="813"/>
      <c r="H269" s="813"/>
      <c r="I269" s="813"/>
    </row>
    <row r="270" spans="1:9" x14ac:dyDescent="0.25">
      <c r="A270" s="813"/>
      <c r="B270" s="813"/>
      <c r="C270" s="813"/>
      <c r="D270" s="813"/>
      <c r="E270" s="813"/>
      <c r="F270" s="813"/>
      <c r="G270" s="813"/>
      <c r="H270" s="813"/>
      <c r="I270" s="813"/>
    </row>
    <row r="271" spans="1:9" x14ac:dyDescent="0.25">
      <c r="A271" s="813"/>
      <c r="B271" s="813"/>
      <c r="C271" s="813"/>
      <c r="D271" s="813"/>
      <c r="E271" s="813"/>
      <c r="F271" s="813"/>
      <c r="G271" s="813"/>
      <c r="H271" s="813"/>
      <c r="I271" s="813"/>
    </row>
    <row r="272" spans="1:9" x14ac:dyDescent="0.25">
      <c r="A272" s="813"/>
      <c r="B272" s="813"/>
      <c r="C272" s="813"/>
      <c r="D272" s="813"/>
      <c r="E272" s="813"/>
      <c r="F272" s="813"/>
      <c r="G272" s="813"/>
      <c r="H272" s="813"/>
      <c r="I272" s="813"/>
    </row>
    <row r="273" spans="1:9" x14ac:dyDescent="0.25">
      <c r="A273" s="813"/>
      <c r="B273" s="813"/>
      <c r="C273" s="813"/>
      <c r="D273" s="813"/>
      <c r="E273" s="813"/>
      <c r="F273" s="813"/>
      <c r="G273" s="813"/>
      <c r="H273" s="813"/>
      <c r="I273" s="813"/>
    </row>
    <row r="274" spans="1:9" x14ac:dyDescent="0.25">
      <c r="A274" s="813"/>
      <c r="B274" s="813"/>
      <c r="C274" s="813"/>
      <c r="D274" s="813"/>
      <c r="E274" s="813"/>
      <c r="F274" s="813"/>
      <c r="G274" s="813"/>
      <c r="H274" s="813"/>
      <c r="I274" s="813"/>
    </row>
    <row r="275" spans="1:9" x14ac:dyDescent="0.25">
      <c r="A275" s="813"/>
      <c r="B275" s="813"/>
      <c r="C275" s="813"/>
      <c r="D275" s="813"/>
      <c r="E275" s="813"/>
      <c r="F275" s="813"/>
      <c r="G275" s="813"/>
      <c r="H275" s="813"/>
      <c r="I275" s="813"/>
    </row>
    <row r="276" spans="1:9" x14ac:dyDescent="0.25">
      <c r="A276" s="813"/>
      <c r="B276" s="813"/>
      <c r="C276" s="813"/>
      <c r="D276" s="813"/>
      <c r="E276" s="813"/>
      <c r="F276" s="813"/>
      <c r="G276" s="813"/>
      <c r="H276" s="813"/>
      <c r="I276" s="813"/>
    </row>
    <row r="277" spans="1:9" x14ac:dyDescent="0.25">
      <c r="A277" s="813"/>
      <c r="B277" s="813"/>
      <c r="C277" s="813"/>
      <c r="D277" s="813"/>
      <c r="E277" s="813"/>
      <c r="F277" s="813"/>
      <c r="G277" s="813"/>
      <c r="H277" s="813"/>
      <c r="I277" s="813"/>
    </row>
    <row r="278" spans="1:9" x14ac:dyDescent="0.25">
      <c r="A278" s="813"/>
      <c r="B278" s="813"/>
      <c r="C278" s="813"/>
      <c r="D278" s="813"/>
      <c r="E278" s="813"/>
      <c r="F278" s="813"/>
      <c r="G278" s="813"/>
      <c r="H278" s="813"/>
      <c r="I278" s="813"/>
    </row>
    <row r="279" spans="1:9" x14ac:dyDescent="0.25">
      <c r="A279" s="813"/>
      <c r="B279" s="813"/>
      <c r="C279" s="813"/>
      <c r="D279" s="813"/>
      <c r="E279" s="813"/>
      <c r="F279" s="813"/>
      <c r="G279" s="813"/>
      <c r="H279" s="813"/>
      <c r="I279" s="813"/>
    </row>
    <row r="280" spans="1:9" x14ac:dyDescent="0.25">
      <c r="A280" s="813"/>
      <c r="B280" s="813"/>
      <c r="C280" s="813"/>
      <c r="D280" s="813"/>
      <c r="E280" s="813"/>
      <c r="F280" s="813"/>
      <c r="G280" s="813"/>
      <c r="H280" s="813"/>
      <c r="I280" s="813"/>
    </row>
  </sheetData>
  <hyperlinks>
    <hyperlink ref="F2" location="BOM!A1" display="Back to BOM" xr:uid="{00000000-0004-0000-6200-000000000000}"/>
    <hyperlink ref="B4" location="SU_A0800" display="SU_A0800" xr:uid="{00000000-0004-0000-6200-000001000000}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3" fitToHeight="99" orientation="landscape" r:id="rId1"/>
  <headerFooter>
    <oddFooter>Page &amp;P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2</DocSecurity>
  <ScaleCrop>false</ScaleCrop>
  <HeadingPairs>
    <vt:vector size="4" baseType="variant">
      <vt:variant>
        <vt:lpstr>Feuilles de calcul</vt:lpstr>
      </vt:variant>
      <vt:variant>
        <vt:i4>143</vt:i4>
      </vt:variant>
      <vt:variant>
        <vt:lpstr>Plages nommées</vt:lpstr>
      </vt:variant>
      <vt:variant>
        <vt:i4>442</vt:i4>
      </vt:variant>
    </vt:vector>
  </HeadingPairs>
  <TitlesOfParts>
    <vt:vector size="585" baseType="lpstr">
      <vt:lpstr>BOM</vt:lpstr>
      <vt:lpstr>SU A0100</vt:lpstr>
      <vt:lpstr>SU 01001</vt:lpstr>
      <vt:lpstr>dSU 01001</vt:lpstr>
      <vt:lpstr>SU 01002</vt:lpstr>
      <vt:lpstr>dSU 01002</vt:lpstr>
      <vt:lpstr>SU 01003</vt:lpstr>
      <vt:lpstr>SU 01004</vt:lpstr>
      <vt:lpstr>SU 01005</vt:lpstr>
      <vt:lpstr>dSU 01005</vt:lpstr>
      <vt:lpstr>SU 01006</vt:lpstr>
      <vt:lpstr>dSU 01006</vt:lpstr>
      <vt:lpstr>SU 01007</vt:lpstr>
      <vt:lpstr>dSU 01007</vt:lpstr>
      <vt:lpstr>SU 01008</vt:lpstr>
      <vt:lpstr>dSU 01008</vt:lpstr>
      <vt:lpstr>SU 01009</vt:lpstr>
      <vt:lpstr>dSU 01009</vt:lpstr>
      <vt:lpstr>SU 01010</vt:lpstr>
      <vt:lpstr>dSU 01010</vt:lpstr>
      <vt:lpstr>SU 01011</vt:lpstr>
      <vt:lpstr>dSU 01011</vt:lpstr>
      <vt:lpstr>SU A0200</vt:lpstr>
      <vt:lpstr>SU 02001</vt:lpstr>
      <vt:lpstr>dSU 02001</vt:lpstr>
      <vt:lpstr>SU 02002</vt:lpstr>
      <vt:lpstr>dSU 02002</vt:lpstr>
      <vt:lpstr>SU 02003</vt:lpstr>
      <vt:lpstr>SU 02004</vt:lpstr>
      <vt:lpstr>SU 02005</vt:lpstr>
      <vt:lpstr>dSU 02005</vt:lpstr>
      <vt:lpstr>SU 02006</vt:lpstr>
      <vt:lpstr>dSU 02006</vt:lpstr>
      <vt:lpstr>SU 02007</vt:lpstr>
      <vt:lpstr>dSU 02007</vt:lpstr>
      <vt:lpstr>SU 02008</vt:lpstr>
      <vt:lpstr>dSU 02008</vt:lpstr>
      <vt:lpstr>SU 02009</vt:lpstr>
      <vt:lpstr>dSU 02009</vt:lpstr>
      <vt:lpstr>SU 02010</vt:lpstr>
      <vt:lpstr>dSU 02010</vt:lpstr>
      <vt:lpstr>SU 02011</vt:lpstr>
      <vt:lpstr>dSU 02011</vt:lpstr>
      <vt:lpstr>SU A0300</vt:lpstr>
      <vt:lpstr>SU 03001</vt:lpstr>
      <vt:lpstr>dSU 03001</vt:lpstr>
      <vt:lpstr>SU 03002</vt:lpstr>
      <vt:lpstr>dSU 03002</vt:lpstr>
      <vt:lpstr>SU 03003</vt:lpstr>
      <vt:lpstr>SU 03004</vt:lpstr>
      <vt:lpstr>SU 03005</vt:lpstr>
      <vt:lpstr>dSU 03005</vt:lpstr>
      <vt:lpstr>SU 03006</vt:lpstr>
      <vt:lpstr>dSU 03006</vt:lpstr>
      <vt:lpstr>SU 03007</vt:lpstr>
      <vt:lpstr>dSU 03007</vt:lpstr>
      <vt:lpstr>SU 03008</vt:lpstr>
      <vt:lpstr>dSU 03008</vt:lpstr>
      <vt:lpstr>SU 03009</vt:lpstr>
      <vt:lpstr>dSU 03009</vt:lpstr>
      <vt:lpstr>SU 03010</vt:lpstr>
      <vt:lpstr>dSU 03010</vt:lpstr>
      <vt:lpstr>SU 03011</vt:lpstr>
      <vt:lpstr>dSU 03011</vt:lpstr>
      <vt:lpstr>SU A0400</vt:lpstr>
      <vt:lpstr>SU 04001</vt:lpstr>
      <vt:lpstr>dSU 04001</vt:lpstr>
      <vt:lpstr>SU 04002</vt:lpstr>
      <vt:lpstr>dSU 04002</vt:lpstr>
      <vt:lpstr>SU 04003</vt:lpstr>
      <vt:lpstr>SU 04004</vt:lpstr>
      <vt:lpstr>SU 04005</vt:lpstr>
      <vt:lpstr>dSU 04005</vt:lpstr>
      <vt:lpstr>SU 04006</vt:lpstr>
      <vt:lpstr>dSU 04006</vt:lpstr>
      <vt:lpstr>SU 04007</vt:lpstr>
      <vt:lpstr>dSU 04007</vt:lpstr>
      <vt:lpstr>SU 04008</vt:lpstr>
      <vt:lpstr>dSU 04008</vt:lpstr>
      <vt:lpstr>SU 04009</vt:lpstr>
      <vt:lpstr>dSU 04009</vt:lpstr>
      <vt:lpstr>SU 04010</vt:lpstr>
      <vt:lpstr>dSU 04010</vt:lpstr>
      <vt:lpstr>SU 04011</vt:lpstr>
      <vt:lpstr>dSU 04011</vt:lpstr>
      <vt:lpstr>SU A0500</vt:lpstr>
      <vt:lpstr>SU 05001</vt:lpstr>
      <vt:lpstr>dSU 05001</vt:lpstr>
      <vt:lpstr>SU A0600</vt:lpstr>
      <vt:lpstr>SU 06001</vt:lpstr>
      <vt:lpstr>SU 06002</vt:lpstr>
      <vt:lpstr>SU 06003</vt:lpstr>
      <vt:lpstr>dSU 06003</vt:lpstr>
      <vt:lpstr>SU 06004</vt:lpstr>
      <vt:lpstr>SU A0700</vt:lpstr>
      <vt:lpstr>SU 07001</vt:lpstr>
      <vt:lpstr>dSU 07001</vt:lpstr>
      <vt:lpstr>SU A0800</vt:lpstr>
      <vt:lpstr>SU 08001</vt:lpstr>
      <vt:lpstr>SU 08002</vt:lpstr>
      <vt:lpstr>dSU 08002</vt:lpstr>
      <vt:lpstr>SU 08003</vt:lpstr>
      <vt:lpstr>SU A0900</vt:lpstr>
      <vt:lpstr>SU 09001</vt:lpstr>
      <vt:lpstr>SU 09002</vt:lpstr>
      <vt:lpstr>dSU 09002</vt:lpstr>
      <vt:lpstr>SU 09003</vt:lpstr>
      <vt:lpstr>dSU 09003</vt:lpstr>
      <vt:lpstr>SU 09004</vt:lpstr>
      <vt:lpstr>dSU 09004</vt:lpstr>
      <vt:lpstr>SU A1000</vt:lpstr>
      <vt:lpstr>SU 10001</vt:lpstr>
      <vt:lpstr>dSU 10001</vt:lpstr>
      <vt:lpstr>SU 10002</vt:lpstr>
      <vt:lpstr>dSU 10002</vt:lpstr>
      <vt:lpstr>SU 10003</vt:lpstr>
      <vt:lpstr>dSU 10003</vt:lpstr>
      <vt:lpstr>SU 10004</vt:lpstr>
      <vt:lpstr>dSU 10004</vt:lpstr>
      <vt:lpstr>SU 10005</vt:lpstr>
      <vt:lpstr>dSU 10005</vt:lpstr>
      <vt:lpstr>SU A1100 </vt:lpstr>
      <vt:lpstr>SU 11001</vt:lpstr>
      <vt:lpstr>dSU 11001</vt:lpstr>
      <vt:lpstr>SU 11002</vt:lpstr>
      <vt:lpstr>dSU 11002</vt:lpstr>
      <vt:lpstr>SU 11003</vt:lpstr>
      <vt:lpstr>dSU 11003</vt:lpstr>
      <vt:lpstr>SU 11004</vt:lpstr>
      <vt:lpstr>dSU 11004</vt:lpstr>
      <vt:lpstr>SU A1200</vt:lpstr>
      <vt:lpstr>SU 12001</vt:lpstr>
      <vt:lpstr>SU 12002</vt:lpstr>
      <vt:lpstr>dSU 12002</vt:lpstr>
      <vt:lpstr>SU 12003</vt:lpstr>
      <vt:lpstr>dSU 12003</vt:lpstr>
      <vt:lpstr>SU 12004</vt:lpstr>
      <vt:lpstr>dSU 12004</vt:lpstr>
      <vt:lpstr>SU A1300</vt:lpstr>
      <vt:lpstr>SU 13001</vt:lpstr>
      <vt:lpstr>dSU 13001</vt:lpstr>
      <vt:lpstr>SU 13002</vt:lpstr>
      <vt:lpstr>dSU 13002</vt:lpstr>
      <vt:lpstr>dSU_01001</vt:lpstr>
      <vt:lpstr>dSU_01002</vt:lpstr>
      <vt:lpstr>dSU_01005</vt:lpstr>
      <vt:lpstr>dSU_01006</vt:lpstr>
      <vt:lpstr>dSU_01007</vt:lpstr>
      <vt:lpstr>dSU_01008</vt:lpstr>
      <vt:lpstr>dSU_01009</vt:lpstr>
      <vt:lpstr>dSU_01010</vt:lpstr>
      <vt:lpstr>dSU_01011</vt:lpstr>
      <vt:lpstr>dSU_02001</vt:lpstr>
      <vt:lpstr>dSU_02002</vt:lpstr>
      <vt:lpstr>dSU_02005</vt:lpstr>
      <vt:lpstr>dSU_02006</vt:lpstr>
      <vt:lpstr>dSU_02007</vt:lpstr>
      <vt:lpstr>dSU_02008</vt:lpstr>
      <vt:lpstr>dSU_02009</vt:lpstr>
      <vt:lpstr>dSU_02010</vt:lpstr>
      <vt:lpstr>dSU_03001</vt:lpstr>
      <vt:lpstr>dSU_03002</vt:lpstr>
      <vt:lpstr>dSU_03005</vt:lpstr>
      <vt:lpstr>dSU_03006</vt:lpstr>
      <vt:lpstr>dSU_03007</vt:lpstr>
      <vt:lpstr>dSU_03008</vt:lpstr>
      <vt:lpstr>dSU_03009</vt:lpstr>
      <vt:lpstr>dSU_03010</vt:lpstr>
      <vt:lpstr>dSU_03011</vt:lpstr>
      <vt:lpstr>dSU_04001</vt:lpstr>
      <vt:lpstr>dSU_04002</vt:lpstr>
      <vt:lpstr>dSU_04005</vt:lpstr>
      <vt:lpstr>dSU_04006</vt:lpstr>
      <vt:lpstr>dSU_04007</vt:lpstr>
      <vt:lpstr>dSU_04008</vt:lpstr>
      <vt:lpstr>dSU_04009</vt:lpstr>
      <vt:lpstr>dSU_04010</vt:lpstr>
      <vt:lpstr>dSU_04011</vt:lpstr>
      <vt:lpstr>dSU_05001</vt:lpstr>
      <vt:lpstr>dSU_06003</vt:lpstr>
      <vt:lpstr>dSU_07001</vt:lpstr>
      <vt:lpstr>dSU_08002</vt:lpstr>
      <vt:lpstr>dSU_09002</vt:lpstr>
      <vt:lpstr>dSU_09003</vt:lpstr>
      <vt:lpstr>dSU_09004</vt:lpstr>
      <vt:lpstr>dSU_10001</vt:lpstr>
      <vt:lpstr>dSU_10002</vt:lpstr>
      <vt:lpstr>dSU_10003</vt:lpstr>
      <vt:lpstr>dSU_10004</vt:lpstr>
      <vt:lpstr>dSU_10005</vt:lpstr>
      <vt:lpstr>dSU_11001</vt:lpstr>
      <vt:lpstr>dSU_11002</vt:lpstr>
      <vt:lpstr>dSU_11003</vt:lpstr>
      <vt:lpstr>dSU_11004</vt:lpstr>
      <vt:lpstr>dSU_12002</vt:lpstr>
      <vt:lpstr>dSU_12003</vt:lpstr>
      <vt:lpstr>dSU_12004</vt:lpstr>
      <vt:lpstr>dSU_13001</vt:lpstr>
      <vt:lpstr>dSU_13002</vt:lpstr>
      <vt:lpstr>SU_01001</vt:lpstr>
      <vt:lpstr>SU_01001_m</vt:lpstr>
      <vt:lpstr>SU_01001_p</vt:lpstr>
      <vt:lpstr>SU_01001_q</vt:lpstr>
      <vt:lpstr>SU_01002</vt:lpstr>
      <vt:lpstr>SU_01002_m</vt:lpstr>
      <vt:lpstr>SU_01002_p</vt:lpstr>
      <vt:lpstr>SU_01002_q</vt:lpstr>
      <vt:lpstr>SU_01003</vt:lpstr>
      <vt:lpstr>SU_01003_m</vt:lpstr>
      <vt:lpstr>SU_01003_p</vt:lpstr>
      <vt:lpstr>SU_01003_q</vt:lpstr>
      <vt:lpstr>SU_01004</vt:lpstr>
      <vt:lpstr>SU_01004_m</vt:lpstr>
      <vt:lpstr>SU_01004_p</vt:lpstr>
      <vt:lpstr>SU_01004_q</vt:lpstr>
      <vt:lpstr>SU_01005</vt:lpstr>
      <vt:lpstr>SU_01005_m</vt:lpstr>
      <vt:lpstr>SU_01005_p</vt:lpstr>
      <vt:lpstr>SU_01005_q</vt:lpstr>
      <vt:lpstr>SU_01006</vt:lpstr>
      <vt:lpstr>SU_01006_m</vt:lpstr>
      <vt:lpstr>SU_01006_p</vt:lpstr>
      <vt:lpstr>SU_01006_q</vt:lpstr>
      <vt:lpstr>SU_01007</vt:lpstr>
      <vt:lpstr>SU_01007_m</vt:lpstr>
      <vt:lpstr>SU_01007_p</vt:lpstr>
      <vt:lpstr>SU_01007_q</vt:lpstr>
      <vt:lpstr>SU_01008</vt:lpstr>
      <vt:lpstr>SU_01008_m</vt:lpstr>
      <vt:lpstr>SU_01008_p</vt:lpstr>
      <vt:lpstr>SU_01008_q</vt:lpstr>
      <vt:lpstr>SU_01009</vt:lpstr>
      <vt:lpstr>SU_01009_m</vt:lpstr>
      <vt:lpstr>SU_01009_p</vt:lpstr>
      <vt:lpstr>SU_01009_q</vt:lpstr>
      <vt:lpstr>SU_01010</vt:lpstr>
      <vt:lpstr>SU_01010_m</vt:lpstr>
      <vt:lpstr>SU_01010_p</vt:lpstr>
      <vt:lpstr>SU_01010_q</vt:lpstr>
      <vt:lpstr>SU_01011</vt:lpstr>
      <vt:lpstr>SU_01011_m</vt:lpstr>
      <vt:lpstr>SU_01011_p</vt:lpstr>
      <vt:lpstr>SU_01011_q</vt:lpstr>
      <vt:lpstr>SU_02001</vt:lpstr>
      <vt:lpstr>SU_02001_m</vt:lpstr>
      <vt:lpstr>SU_02001_p</vt:lpstr>
      <vt:lpstr>SU_02001_q</vt:lpstr>
      <vt:lpstr>SU_02002</vt:lpstr>
      <vt:lpstr>SU_02002_m</vt:lpstr>
      <vt:lpstr>SU_02002_p</vt:lpstr>
      <vt:lpstr>SU_02002_q</vt:lpstr>
      <vt:lpstr>SU_02003</vt:lpstr>
      <vt:lpstr>SU_02003_m</vt:lpstr>
      <vt:lpstr>SU_02003_p</vt:lpstr>
      <vt:lpstr>SU_02003_q</vt:lpstr>
      <vt:lpstr>SU_02004</vt:lpstr>
      <vt:lpstr>SU_02004_m</vt:lpstr>
      <vt:lpstr>SU_02004_p</vt:lpstr>
      <vt:lpstr>SU_02004_q</vt:lpstr>
      <vt:lpstr>SU_02005</vt:lpstr>
      <vt:lpstr>SU_02005_m</vt:lpstr>
      <vt:lpstr>SU_02005_p</vt:lpstr>
      <vt:lpstr>SU_02005_q</vt:lpstr>
      <vt:lpstr>SU_02006</vt:lpstr>
      <vt:lpstr>SU_02006_m</vt:lpstr>
      <vt:lpstr>SU_02006_p</vt:lpstr>
      <vt:lpstr>SU_02006_q</vt:lpstr>
      <vt:lpstr>SU_02007</vt:lpstr>
      <vt:lpstr>SU_02007_m</vt:lpstr>
      <vt:lpstr>SU_02007_p</vt:lpstr>
      <vt:lpstr>SU_02007_q</vt:lpstr>
      <vt:lpstr>SU_02008</vt:lpstr>
      <vt:lpstr>SU_02008_m</vt:lpstr>
      <vt:lpstr>SU_02008_p</vt:lpstr>
      <vt:lpstr>SU_02008_q</vt:lpstr>
      <vt:lpstr>SU_02009</vt:lpstr>
      <vt:lpstr>SU_02009_m</vt:lpstr>
      <vt:lpstr>SU_02009_p</vt:lpstr>
      <vt:lpstr>SU_02009_q</vt:lpstr>
      <vt:lpstr>SU_02010</vt:lpstr>
      <vt:lpstr>SU_02010_m</vt:lpstr>
      <vt:lpstr>SU_02010_p</vt:lpstr>
      <vt:lpstr>SU_02010_q</vt:lpstr>
      <vt:lpstr>SU_02011</vt:lpstr>
      <vt:lpstr>SU_02011_m</vt:lpstr>
      <vt:lpstr>SU_02011_p</vt:lpstr>
      <vt:lpstr>SU_02011_q</vt:lpstr>
      <vt:lpstr>SU_03001</vt:lpstr>
      <vt:lpstr>SU_03001_m</vt:lpstr>
      <vt:lpstr>SU_03001_p</vt:lpstr>
      <vt:lpstr>SU_03001_q</vt:lpstr>
      <vt:lpstr>SU_03002</vt:lpstr>
      <vt:lpstr>SU_03002_m</vt:lpstr>
      <vt:lpstr>SU_03002_p</vt:lpstr>
      <vt:lpstr>SU_03002_q</vt:lpstr>
      <vt:lpstr>SU_03003</vt:lpstr>
      <vt:lpstr>SU_03003_m</vt:lpstr>
      <vt:lpstr>SU_03003_p</vt:lpstr>
      <vt:lpstr>SU_03003_q</vt:lpstr>
      <vt:lpstr>SU_03004</vt:lpstr>
      <vt:lpstr>SU_03004_m</vt:lpstr>
      <vt:lpstr>SU_03004_p</vt:lpstr>
      <vt:lpstr>SU_03004_q</vt:lpstr>
      <vt:lpstr>SU_03005</vt:lpstr>
      <vt:lpstr>SU_03005_m</vt:lpstr>
      <vt:lpstr>SU_03005_p</vt:lpstr>
      <vt:lpstr>SU_03005_q</vt:lpstr>
      <vt:lpstr>SU_03006</vt:lpstr>
      <vt:lpstr>SU_03006_m</vt:lpstr>
      <vt:lpstr>SU_03006_p</vt:lpstr>
      <vt:lpstr>SU_03006_q</vt:lpstr>
      <vt:lpstr>SU_03007</vt:lpstr>
      <vt:lpstr>SU_03007_m</vt:lpstr>
      <vt:lpstr>SU_03007_p</vt:lpstr>
      <vt:lpstr>SU_03007_q</vt:lpstr>
      <vt:lpstr>SU_03008</vt:lpstr>
      <vt:lpstr>SU_03008_m</vt:lpstr>
      <vt:lpstr>SU_03008_p</vt:lpstr>
      <vt:lpstr>SU_03008_q</vt:lpstr>
      <vt:lpstr>SU_03009</vt:lpstr>
      <vt:lpstr>SU_03009_m</vt:lpstr>
      <vt:lpstr>SU_03009_p</vt:lpstr>
      <vt:lpstr>SU_03009_q</vt:lpstr>
      <vt:lpstr>SU_03010</vt:lpstr>
      <vt:lpstr>SU_03010_m</vt:lpstr>
      <vt:lpstr>SU_03010_p</vt:lpstr>
      <vt:lpstr>SU_03010_q</vt:lpstr>
      <vt:lpstr>SU_03011</vt:lpstr>
      <vt:lpstr>SU_03011_m</vt:lpstr>
      <vt:lpstr>SU_03011_p</vt:lpstr>
      <vt:lpstr>SU_03011_q</vt:lpstr>
      <vt:lpstr>SU_04001</vt:lpstr>
      <vt:lpstr>SU_04001_m</vt:lpstr>
      <vt:lpstr>SU_04001_p</vt:lpstr>
      <vt:lpstr>SU_04001_q</vt:lpstr>
      <vt:lpstr>SU_04002</vt:lpstr>
      <vt:lpstr>SU_04002_m</vt:lpstr>
      <vt:lpstr>SU_04002_p</vt:lpstr>
      <vt:lpstr>SU_04002_q</vt:lpstr>
      <vt:lpstr>SU_04003</vt:lpstr>
      <vt:lpstr>SU_04003_m</vt:lpstr>
      <vt:lpstr>SU_04003_p</vt:lpstr>
      <vt:lpstr>SU_04003_q</vt:lpstr>
      <vt:lpstr>SU_04004</vt:lpstr>
      <vt:lpstr>SU_04004_m</vt:lpstr>
      <vt:lpstr>SU_04004_p</vt:lpstr>
      <vt:lpstr>SU_04004_q</vt:lpstr>
      <vt:lpstr>SU_04005</vt:lpstr>
      <vt:lpstr>SU_04005_m</vt:lpstr>
      <vt:lpstr>SU_04005_p</vt:lpstr>
      <vt:lpstr>SU_04005_q</vt:lpstr>
      <vt:lpstr>SU_04006</vt:lpstr>
      <vt:lpstr>SU_04006_m</vt:lpstr>
      <vt:lpstr>SU_04006_p</vt:lpstr>
      <vt:lpstr>SU_04006_q</vt:lpstr>
      <vt:lpstr>SU_04007</vt:lpstr>
      <vt:lpstr>SU_04007_m</vt:lpstr>
      <vt:lpstr>SU_04007_p</vt:lpstr>
      <vt:lpstr>SU_04007_q</vt:lpstr>
      <vt:lpstr>SU_04008</vt:lpstr>
      <vt:lpstr>SU_04008_m</vt:lpstr>
      <vt:lpstr>SU_04008_p</vt:lpstr>
      <vt:lpstr>SU_04008_q</vt:lpstr>
      <vt:lpstr>SU_04009</vt:lpstr>
      <vt:lpstr>SU_04009_m</vt:lpstr>
      <vt:lpstr>SU_04009_p</vt:lpstr>
      <vt:lpstr>SU_04009_q</vt:lpstr>
      <vt:lpstr>SU_04010</vt:lpstr>
      <vt:lpstr>SU_04010_m</vt:lpstr>
      <vt:lpstr>SU_04010_p</vt:lpstr>
      <vt:lpstr>SU_04010_q</vt:lpstr>
      <vt:lpstr>SU_04011</vt:lpstr>
      <vt:lpstr>SU_04011_m</vt:lpstr>
      <vt:lpstr>SU_04011_p</vt:lpstr>
      <vt:lpstr>SU_04011_q</vt:lpstr>
      <vt:lpstr>SU_05001</vt:lpstr>
      <vt:lpstr>SU_05001_m</vt:lpstr>
      <vt:lpstr>SU_05001_p</vt:lpstr>
      <vt:lpstr>SU_05001_q</vt:lpstr>
      <vt:lpstr>SU_06001</vt:lpstr>
      <vt:lpstr>SU_06001_m</vt:lpstr>
      <vt:lpstr>SU_06001_p</vt:lpstr>
      <vt:lpstr>SU_06001_q</vt:lpstr>
      <vt:lpstr>SU_06002</vt:lpstr>
      <vt:lpstr>SU_06002_m</vt:lpstr>
      <vt:lpstr>SU_06002_p</vt:lpstr>
      <vt:lpstr>SU_06002_q</vt:lpstr>
      <vt:lpstr>SU_06003</vt:lpstr>
      <vt:lpstr>SU_06003_m</vt:lpstr>
      <vt:lpstr>SU_06003_p</vt:lpstr>
      <vt:lpstr>SU_06003_q</vt:lpstr>
      <vt:lpstr>SU_06004</vt:lpstr>
      <vt:lpstr>SU_06004_m</vt:lpstr>
      <vt:lpstr>SU_06004_p</vt:lpstr>
      <vt:lpstr>SU_06004_q</vt:lpstr>
      <vt:lpstr>SU_07001</vt:lpstr>
      <vt:lpstr>SU_07001_m</vt:lpstr>
      <vt:lpstr>SU_07001_p</vt:lpstr>
      <vt:lpstr>SU_07001_q</vt:lpstr>
      <vt:lpstr>SU_08001</vt:lpstr>
      <vt:lpstr>SU_08001_m</vt:lpstr>
      <vt:lpstr>SU_08001_p</vt:lpstr>
      <vt:lpstr>SU_08001_q</vt:lpstr>
      <vt:lpstr>SU_08002</vt:lpstr>
      <vt:lpstr>SU_08002_m</vt:lpstr>
      <vt:lpstr>SU_08002_p</vt:lpstr>
      <vt:lpstr>SU_08002_q</vt:lpstr>
      <vt:lpstr>SU_08003</vt:lpstr>
      <vt:lpstr>SU_08003_m</vt:lpstr>
      <vt:lpstr>SU_08003_p</vt:lpstr>
      <vt:lpstr>SU_08003_q</vt:lpstr>
      <vt:lpstr>SU_09001</vt:lpstr>
      <vt:lpstr>SU_09001_m</vt:lpstr>
      <vt:lpstr>SU_09001_p</vt:lpstr>
      <vt:lpstr>SU_09001_q</vt:lpstr>
      <vt:lpstr>SU_09002</vt:lpstr>
      <vt:lpstr>SU_09002_m</vt:lpstr>
      <vt:lpstr>SU_09002_p</vt:lpstr>
      <vt:lpstr>SU_09002_q</vt:lpstr>
      <vt:lpstr>SU_09003</vt:lpstr>
      <vt:lpstr>SU_09003_m</vt:lpstr>
      <vt:lpstr>SU_09003_p</vt:lpstr>
      <vt:lpstr>SU_09003_q</vt:lpstr>
      <vt:lpstr>SU_09004</vt:lpstr>
      <vt:lpstr>SU_09004_m</vt:lpstr>
      <vt:lpstr>SU_09004_p</vt:lpstr>
      <vt:lpstr>SU_09004_q</vt:lpstr>
      <vt:lpstr>SU_10001</vt:lpstr>
      <vt:lpstr>SU_10001_m</vt:lpstr>
      <vt:lpstr>SU_10001_p</vt:lpstr>
      <vt:lpstr>SU_10001_q</vt:lpstr>
      <vt:lpstr>SU_10002</vt:lpstr>
      <vt:lpstr>SU_10002_m</vt:lpstr>
      <vt:lpstr>SU_10002_p</vt:lpstr>
      <vt:lpstr>SU_10002_q</vt:lpstr>
      <vt:lpstr>SU_10003</vt:lpstr>
      <vt:lpstr>SU_10003_m</vt:lpstr>
      <vt:lpstr>SU_10003_p</vt:lpstr>
      <vt:lpstr>SU_10003_q</vt:lpstr>
      <vt:lpstr>SU_10004</vt:lpstr>
      <vt:lpstr>SU_10004_m</vt:lpstr>
      <vt:lpstr>SU_10004_p</vt:lpstr>
      <vt:lpstr>SU_10004_q</vt:lpstr>
      <vt:lpstr>SU_10005</vt:lpstr>
      <vt:lpstr>SU_10005_m</vt:lpstr>
      <vt:lpstr>SU_10005_p</vt:lpstr>
      <vt:lpstr>SU_10005_q</vt:lpstr>
      <vt:lpstr>SU_11001</vt:lpstr>
      <vt:lpstr>SU_11001_m</vt:lpstr>
      <vt:lpstr>SU_11001_p</vt:lpstr>
      <vt:lpstr>SU_11001_q</vt:lpstr>
      <vt:lpstr>SU_11002</vt:lpstr>
      <vt:lpstr>SU_11002_m</vt:lpstr>
      <vt:lpstr>SU_11002_p</vt:lpstr>
      <vt:lpstr>SU_11002_q</vt:lpstr>
      <vt:lpstr>SU_11003</vt:lpstr>
      <vt:lpstr>SU_11003_m</vt:lpstr>
      <vt:lpstr>SU_11003_p</vt:lpstr>
      <vt:lpstr>SU_11003_q</vt:lpstr>
      <vt:lpstr>SU_11004</vt:lpstr>
      <vt:lpstr>SU_11004_m</vt:lpstr>
      <vt:lpstr>SU_11004_p</vt:lpstr>
      <vt:lpstr>SU_11004_q</vt:lpstr>
      <vt:lpstr>SU_12001</vt:lpstr>
      <vt:lpstr>SU_12001_m</vt:lpstr>
      <vt:lpstr>SU_12001_p</vt:lpstr>
      <vt:lpstr>SU_12001_q</vt:lpstr>
      <vt:lpstr>SU_12002</vt:lpstr>
      <vt:lpstr>SU_12002_m</vt:lpstr>
      <vt:lpstr>SU_12002_p</vt:lpstr>
      <vt:lpstr>SU_12002_q</vt:lpstr>
      <vt:lpstr>SU_12003</vt:lpstr>
      <vt:lpstr>SU_12003_m</vt:lpstr>
      <vt:lpstr>SU_12003_p</vt:lpstr>
      <vt:lpstr>SU_12003_q</vt:lpstr>
      <vt:lpstr>SU_12004</vt:lpstr>
      <vt:lpstr>SU_12004_M</vt:lpstr>
      <vt:lpstr>SU_12004_P</vt:lpstr>
      <vt:lpstr>SU_12004_q</vt:lpstr>
      <vt:lpstr>SU_13001</vt:lpstr>
      <vt:lpstr>SU_13001_m</vt:lpstr>
      <vt:lpstr>SU_13001_p</vt:lpstr>
      <vt:lpstr>SU_13001_q</vt:lpstr>
      <vt:lpstr>SU_13002</vt:lpstr>
      <vt:lpstr>SU_13002_m</vt:lpstr>
      <vt:lpstr>SU_13002_p</vt:lpstr>
      <vt:lpstr>SU_13002_q</vt:lpstr>
      <vt:lpstr>SU_A0100</vt:lpstr>
      <vt:lpstr>SU_A0100_BOM</vt:lpstr>
      <vt:lpstr>SU_A0100_f</vt:lpstr>
      <vt:lpstr>SU_A0100_m</vt:lpstr>
      <vt:lpstr>SU_A0100_p</vt:lpstr>
      <vt:lpstr>SU_A0100_pa</vt:lpstr>
      <vt:lpstr>SU_A0100_q</vt:lpstr>
      <vt:lpstr>SU_A0100_t</vt:lpstr>
      <vt:lpstr>SU_A0200</vt:lpstr>
      <vt:lpstr>SU_A0200_BOM</vt:lpstr>
      <vt:lpstr>SU_A0200_f</vt:lpstr>
      <vt:lpstr>SU_A0200_m</vt:lpstr>
      <vt:lpstr>SU_A0200_p</vt:lpstr>
      <vt:lpstr>SU_A0200_pa</vt:lpstr>
      <vt:lpstr>SU_A0200_q</vt:lpstr>
      <vt:lpstr>SU_A0200_t</vt:lpstr>
      <vt:lpstr>SU_A0300</vt:lpstr>
      <vt:lpstr>SU_A0300_BOM</vt:lpstr>
      <vt:lpstr>SU_A0300_f</vt:lpstr>
      <vt:lpstr>SU_A0300_m</vt:lpstr>
      <vt:lpstr>SU_A0300_p</vt:lpstr>
      <vt:lpstr>SU_A0300_pa</vt:lpstr>
      <vt:lpstr>SU_A0300_q</vt:lpstr>
      <vt:lpstr>SU_A0300_t</vt:lpstr>
      <vt:lpstr>SU_A0400</vt:lpstr>
      <vt:lpstr>SU_A0400_BOM</vt:lpstr>
      <vt:lpstr>SU_A0400_f</vt:lpstr>
      <vt:lpstr>SU_A0400_m</vt:lpstr>
      <vt:lpstr>SU_A0400_p</vt:lpstr>
      <vt:lpstr>SU_A0400_pa</vt:lpstr>
      <vt:lpstr>SU_A0400_q</vt:lpstr>
      <vt:lpstr>SU_A0400_t</vt:lpstr>
      <vt:lpstr>SU_A0500</vt:lpstr>
      <vt:lpstr>SU_A0500_BOM</vt:lpstr>
      <vt:lpstr>SU_A0500_f</vt:lpstr>
      <vt:lpstr>SU_A0500_m</vt:lpstr>
      <vt:lpstr>SU_A0500_p</vt:lpstr>
      <vt:lpstr>SU_A0500_pa</vt:lpstr>
      <vt:lpstr>SU_A0500_q</vt:lpstr>
      <vt:lpstr>SU_A0500_t</vt:lpstr>
      <vt:lpstr>SU_A0600</vt:lpstr>
      <vt:lpstr>SU_A0600_BOM</vt:lpstr>
      <vt:lpstr>SU_A0600_f</vt:lpstr>
      <vt:lpstr>SU_A0600_m</vt:lpstr>
      <vt:lpstr>SU_A0600_p</vt:lpstr>
      <vt:lpstr>SU_A0600_pa</vt:lpstr>
      <vt:lpstr>SU_A0600_q</vt:lpstr>
      <vt:lpstr>SU_A0600_t</vt:lpstr>
      <vt:lpstr>SU_A0700</vt:lpstr>
      <vt:lpstr>SU_A0700_BOM</vt:lpstr>
      <vt:lpstr>SU_A0700_f</vt:lpstr>
      <vt:lpstr>SU_A0700_m</vt:lpstr>
      <vt:lpstr>SU_A0700_p</vt:lpstr>
      <vt:lpstr>SU_A0700_pa</vt:lpstr>
      <vt:lpstr>SU_A0700_q</vt:lpstr>
      <vt:lpstr>SU_A0700_t</vt:lpstr>
      <vt:lpstr>SU_A0800</vt:lpstr>
      <vt:lpstr>SU_A0800_BOM</vt:lpstr>
      <vt:lpstr>SU_A0800_f</vt:lpstr>
      <vt:lpstr>SU_A0800_m</vt:lpstr>
      <vt:lpstr>SU_A0800_p</vt:lpstr>
      <vt:lpstr>SU_A0800_pa</vt:lpstr>
      <vt:lpstr>SU_A0800_q</vt:lpstr>
      <vt:lpstr>SU_A0800_t</vt:lpstr>
      <vt:lpstr>SU_A0900</vt:lpstr>
      <vt:lpstr>SU_A0900_BOM</vt:lpstr>
      <vt:lpstr>SU_A0900_f</vt:lpstr>
      <vt:lpstr>SU_A0900_m</vt:lpstr>
      <vt:lpstr>SU_A0900_p</vt:lpstr>
      <vt:lpstr>SU_A0900_pa</vt:lpstr>
      <vt:lpstr>SU_A0900_q</vt:lpstr>
      <vt:lpstr>SU_A1000</vt:lpstr>
      <vt:lpstr>SU_A1000_BOM</vt:lpstr>
      <vt:lpstr>SU_A1000_f</vt:lpstr>
      <vt:lpstr>SU_A1000_p</vt:lpstr>
      <vt:lpstr>SU_A1000_pa</vt:lpstr>
      <vt:lpstr>SU_A1000_q</vt:lpstr>
      <vt:lpstr>SU_A1100</vt:lpstr>
      <vt:lpstr>SU_A1100_BOM</vt:lpstr>
      <vt:lpstr>SU_A1100_f</vt:lpstr>
      <vt:lpstr>SU_A1100_p</vt:lpstr>
      <vt:lpstr>SU_A1100_pa</vt:lpstr>
      <vt:lpstr>SU_A1100_q</vt:lpstr>
      <vt:lpstr>SU_A1200</vt:lpstr>
      <vt:lpstr>SU_A1200_BOM</vt:lpstr>
      <vt:lpstr>SU_A1200_f</vt:lpstr>
      <vt:lpstr>SU_A1200_m</vt:lpstr>
      <vt:lpstr>SU_A1200_p</vt:lpstr>
      <vt:lpstr>SU_A1200_pa</vt:lpstr>
      <vt:lpstr>SU_A1200_q</vt:lpstr>
      <vt:lpstr>SU_A1300</vt:lpstr>
      <vt:lpstr>SU_A1300_BOM</vt:lpstr>
      <vt:lpstr>SU_A1300_f</vt:lpstr>
      <vt:lpstr>SU_A1300_m</vt:lpstr>
      <vt:lpstr>SU_A1300_p</vt:lpstr>
      <vt:lpstr>SU_A1300_pa</vt:lpstr>
      <vt:lpstr>SU_A1300_q</vt:lpstr>
      <vt:lpstr>'SU 01002'!Zone_d_impression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Raphaël M</dc:creator>
  <cp:lastModifiedBy>Arthur Perdereau</cp:lastModifiedBy>
  <cp:revision>0</cp:revision>
  <cp:lastPrinted>2018-05-04T17:18:35Z</cp:lastPrinted>
  <dcterms:created xsi:type="dcterms:W3CDTF">2015-05-29T18:57:13Z</dcterms:created>
  <dcterms:modified xsi:type="dcterms:W3CDTF">2018-05-04T19:08:12Z</dcterms:modified>
  <dc:language>fr-FR</dc:language>
</cp:coreProperties>
</file>